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2760" windowWidth="14205" windowHeight="11925" tabRatio="721" activeTab="0"/>
  </bookViews>
  <sheets>
    <sheet name="OBJEKT_CELKOVÉ NÁKLADY" sheetId="1" r:id="rId1"/>
    <sheet name="ESA_ESI" sheetId="2" r:id="rId2"/>
  </sheets>
  <definedNames>
    <definedName name="_2d">#REF!</definedName>
    <definedName name="cc">'OBJEKT_CELKOVÉ NÁKLADY'!#REF!</definedName>
    <definedName name="ccc">'OBJEKT_CELKOVÉ NÁKLADY'!#REF!</definedName>
    <definedName name="cccc">'OBJEKT_CELKOVÉ NÁKLADY'!#REF!</definedName>
    <definedName name="ccccc">'OBJEKT_CELKOVÉ NÁKLADY'!#REF!</definedName>
    <definedName name="cccccc">'OBJEKT_CELKOVÉ NÁKLADY'!#REF!</definedName>
    <definedName name="ccccccc">'OBJEKT_CELKOVÉ NÁKLADY'!#REF!</definedName>
    <definedName name="ccccccccc">'OBJEKT_CELKOVÉ NÁKLADY'!#REF!</definedName>
    <definedName name="cccccccccc">'OBJEKT_CELKOVÉ NÁKLADY'!#REF!</definedName>
    <definedName name="ccccccccccc">'OBJEKT_CELKOVÉ NÁKLADY'!#REF!</definedName>
    <definedName name="ce">'OBJEKT_CELKOVÉ NÁKLADY'!#REF!</definedName>
    <definedName name="cen">'OBJEKT_CELKOVÉ NÁKLADY'!#REF!</definedName>
    <definedName name="cena">'OBJEKT_CELKOVÉ NÁKLADY'!#REF!</definedName>
    <definedName name="Cena_">'OBJEKT_CELKOVÉ NÁKLADY'!#REF!</definedName>
    <definedName name="Cena_1">'OBJEKT_CELKOVÉ NÁKLADY'!$G$133</definedName>
    <definedName name="Cena_2a">'OBJEKT_CELKOVÉ NÁKLADY'!$G$147</definedName>
    <definedName name="Cena_2b">'OBJEKT_CELKOVÉ NÁKLADY'!$G$165</definedName>
    <definedName name="Cena_2c">'OBJEKT_CELKOVÉ NÁKLADY'!$G$219</definedName>
    <definedName name="Cena_2d">'OBJEKT_CELKOVÉ NÁKLADY'!$G$242</definedName>
    <definedName name="Cena_2e">'OBJEKT_CELKOVÉ NÁKLADY'!$G$263</definedName>
    <definedName name="Cena_2f">'OBJEKT_CELKOVÉ NÁKLADY'!$G$330</definedName>
    <definedName name="Cena_2g">'OBJEKT_CELKOVÉ NÁKLADY'!$G$339</definedName>
    <definedName name="Cena_2h">'OBJEKT_CELKOVÉ NÁKLADY'!$G$347</definedName>
    <definedName name="Cena_2i">'OBJEKT_CELKOVÉ NÁKLADY'!$G$372</definedName>
    <definedName name="Cena_2j">'OBJEKT_CELKOVÉ NÁKLADY'!$G$421</definedName>
    <definedName name="Cena_2k">'OBJEKT_CELKOVÉ NÁKLADY'!$G$434</definedName>
    <definedName name="Cena_2l">'OBJEKT_CELKOVÉ NÁKLADY'!$G$460</definedName>
    <definedName name="Cena_2m">'OBJEKT_CELKOVÉ NÁKLADY'!$G$484</definedName>
    <definedName name="Cena_3a">'OBJEKT_CELKOVÉ NÁKLADY'!$G$339</definedName>
    <definedName name="Cena_3b">'OBJEKT_CELKOVÉ NÁKLADY'!$G$347</definedName>
    <definedName name="Cena_3c">'OBJEKT_CELKOVÉ NÁKLADY'!$G$372</definedName>
    <definedName name="Cena_3d">'OBJEKT_CELKOVÉ NÁKLADY'!$G$421</definedName>
    <definedName name="Cena_3e">'OBJEKT_CELKOVÉ NÁKLADY'!#REF!</definedName>
    <definedName name="Cena_3f">'OBJEKT_CELKOVÉ NÁKLADY'!#REF!</definedName>
    <definedName name="Cena_3g">'OBJEKT_CELKOVÉ NÁKLADY'!#REF!</definedName>
    <definedName name="Cena_4a">'OBJEKT_CELKOVÉ NÁKLADY'!#REF!</definedName>
    <definedName name="Cena_4b">'OBJEKT_CELKOVÉ NÁKLADY'!#REF!</definedName>
    <definedName name="Cena_4c">'OBJEKT_CELKOVÉ NÁKLADY'!#REF!</definedName>
    <definedName name="Cena_4d">'OBJEKT_CELKOVÉ NÁKLADY'!#REF!</definedName>
    <definedName name="Cena_4e">'OBJEKT_CELKOVÉ NÁKLADY'!#REF!</definedName>
    <definedName name="Cena_5">'OBJEKT_CELKOVÉ NÁKLADY'!#REF!</definedName>
    <definedName name="Cena_6">'OBJEKT_CELKOVÉ NÁKLADY'!#REF!</definedName>
    <definedName name="Cena_dokoncovaci_prace">'OBJEKT_CELKOVÉ NÁKLADY'!$G$490</definedName>
    <definedName name="Cena_doplňky_dodavatele">'OBJEKT_CELKOVÉ NÁKLADY'!#REF!</definedName>
    <definedName name="Dokoncovaci_prace">'OBJEKT_CELKOVÉ NÁKLADY'!$C$486</definedName>
    <definedName name="Doplňky_dodavatele">'OBJEKT_CELKOVÉ NÁKLADY'!#REF!</definedName>
    <definedName name="kap">'OBJEKT_CELKOVÉ NÁKLADY'!#REF!</definedName>
    <definedName name="kap5">'OBJEKT_CELKOVÉ NÁKLADY'!#REF!</definedName>
    <definedName name="kap6">'OBJEKT_CELKOVÉ NÁKLADY'!#REF!</definedName>
    <definedName name="kapc">'OBJEKT_CELKOVÉ NÁKLADY'!#REF!</definedName>
    <definedName name="kapd">'OBJEKT_CELKOVÉ NÁKLADY'!#REF!</definedName>
    <definedName name="kape">'OBJEKT_CELKOVÉ NÁKLADY'!#REF!</definedName>
    <definedName name="Kapitola_1">'OBJEKT_CELKOVÉ NÁKLADY'!$C$96</definedName>
    <definedName name="Kapitola_2">'OBJEKT_CELKOVÉ NÁKLADY'!$C$135</definedName>
    <definedName name="Kapitola_2a">'OBJEKT_CELKOVÉ NÁKLADY'!$C$136</definedName>
    <definedName name="Kapitola_2b">'OBJEKT_CELKOVÉ NÁKLADY'!$C$149</definedName>
    <definedName name="Kapitola_2c">'OBJEKT_CELKOVÉ NÁKLADY'!$C$167</definedName>
    <definedName name="Kapitola_2d">'OBJEKT_CELKOVÉ NÁKLADY'!$C$221</definedName>
    <definedName name="Kapitola_2e">'OBJEKT_CELKOVÉ NÁKLADY'!$C$244</definedName>
    <definedName name="Kapitola_2f">'OBJEKT_CELKOVÉ NÁKLADY'!$C$296</definedName>
    <definedName name="Kapitola_2g">'OBJEKT_CELKOVÉ NÁKLADY'!$C$332</definedName>
    <definedName name="Kapitola_2h">'OBJEKT_CELKOVÉ NÁKLADY'!$C$341</definedName>
    <definedName name="Kapitola_2i">'OBJEKT_CELKOVÉ NÁKLADY'!$C$349</definedName>
    <definedName name="Kapitola_2j">'OBJEKT_CELKOVÉ NÁKLADY'!$C$402</definedName>
    <definedName name="Kapitola_2k">'OBJEKT_CELKOVÉ NÁKLADY'!$C$423</definedName>
    <definedName name="Kapitola_2l">'OBJEKT_CELKOVÉ NÁKLADY'!$C$436</definedName>
    <definedName name="Kapitola_2m">'OBJEKT_CELKOVÉ NÁKLADY'!$C$462</definedName>
    <definedName name="Kapitola_3">'OBJEKT_CELKOVÉ NÁKLADY'!#REF!</definedName>
    <definedName name="Kapitola_4">'OBJEKT_CELKOVÉ NÁKLADY'!#REF!</definedName>
    <definedName name="Kapitola_4a">'OBJEKT_CELKOVÉ NÁKLADY'!#REF!</definedName>
    <definedName name="Kapitola_4b">'OBJEKT_CELKOVÉ NÁKLADY'!#REF!</definedName>
    <definedName name="Kapitola_4c">'OBJEKT_CELKOVÉ NÁKLADY'!#REF!</definedName>
    <definedName name="Kapitola_4d">'OBJEKT_CELKOVÉ NÁKLADY'!#REF!</definedName>
    <definedName name="Kapitola_4e">'OBJEKT_CELKOVÉ NÁKLADY'!#REF!</definedName>
    <definedName name="Kapitola_5">'OBJEKT_CELKOVÉ NÁKLADY'!#REF!</definedName>
    <definedName name="Kapitola_6">'OBJEKT_CELKOVÉ NÁKLADY'!#REF!</definedName>
    <definedName name="_xlnm.Print_Titles" localSheetId="0">'OBJEKT_CELKOVÉ NÁKLADY'!$2:$2</definedName>
    <definedName name="_xlnm.Print_Area" localSheetId="0">'OBJEKT_CELKOVÉ NÁKLADY'!$A$1:$G$491</definedName>
    <definedName name="rek3">'OBJEKT_CELKOVÉ NÁKLADY'!#REF!</definedName>
    <definedName name="rek4">'OBJEKT_CELKOVÉ NÁKLADY'!#REF!</definedName>
    <definedName name="rek4b">'OBJEKT_CELKOVÉ NÁKLADY'!#REF!</definedName>
    <definedName name="rek4c">'OBJEKT_CELKOVÉ NÁKLADY'!#REF!</definedName>
    <definedName name="rek4d">'OBJEKT_CELKOVÉ NÁKLADY'!#REF!</definedName>
    <definedName name="reka">'OBJEKT_CELKOVÉ NÁKLADY'!#REF!</definedName>
    <definedName name="Rekapitulace_1">'OBJEKT_CELKOVÉ NÁKLADY'!$C$11</definedName>
    <definedName name="Rekapitulace_2">'OBJEKT_CELKOVÉ NÁKLADY'!$C$12</definedName>
    <definedName name="Rekapitulace_2a">'OBJEKT_CELKOVÉ NÁKLADY'!$C$13</definedName>
    <definedName name="Rekapitulace_2b">'OBJEKT_CELKOVÉ NÁKLADY'!$C$14</definedName>
    <definedName name="Rekapitulace_2c">'OBJEKT_CELKOVÉ NÁKLADY'!$C$15</definedName>
    <definedName name="Rekapitulace_2d">'OBJEKT_CELKOVÉ NÁKLADY'!$C$16</definedName>
    <definedName name="Rekapitulace_2e">'OBJEKT_CELKOVÉ NÁKLADY'!$C$17</definedName>
    <definedName name="Rekapitulace_2f">'OBJEKT_CELKOVÉ NÁKLADY'!$C$19</definedName>
    <definedName name="Rekapitulace_2g">'OBJEKT_CELKOVÉ NÁKLADY'!$C$20</definedName>
    <definedName name="Rekapitulace_2h">'OBJEKT_CELKOVÉ NÁKLADY'!$C$21</definedName>
    <definedName name="Rekapitulace_2i">'OBJEKT_CELKOVÉ NÁKLADY'!$C$22</definedName>
    <definedName name="Rekapitulace_2j">'OBJEKT_CELKOVÉ NÁKLADY'!$C$24</definedName>
    <definedName name="Rekapitulace_2k">'OBJEKT_CELKOVÉ NÁKLADY'!$C$25</definedName>
    <definedName name="Rekapitulace_2l">'OBJEKT_CELKOVÉ NÁKLADY'!$C$26</definedName>
    <definedName name="Rekapitulace_2m">'OBJEKT_CELKOVÉ NÁKLADY'!$C$27</definedName>
    <definedName name="Rekapitulace_3">'OBJEKT_CELKOVÉ NÁKLADY'!#REF!</definedName>
    <definedName name="Rekapitulace_3a">'OBJEKT_CELKOVÉ NÁKLADY'!$C$21</definedName>
    <definedName name="Rekapitulace_3b">'OBJEKT_CELKOVÉ NÁKLADY'!#REF!</definedName>
    <definedName name="Rekapitulace_3c">'OBJEKT_CELKOVÉ NÁKLADY'!#REF!</definedName>
    <definedName name="Rekapitulace_3d">'OBJEKT_CELKOVÉ NÁKLADY'!#REF!</definedName>
    <definedName name="Rekapitulace_3e">'OBJEKT_CELKOVÉ NÁKLADY'!#REF!</definedName>
    <definedName name="Rekapitulace_3f">'OBJEKT_CELKOVÉ NÁKLADY'!#REF!</definedName>
    <definedName name="Rekapitulace_3g">'OBJEKT_CELKOVÉ NÁKLADY'!#REF!</definedName>
    <definedName name="Rekapitulace_4">'OBJEKT_CELKOVÉ NÁKLADY'!#REF!</definedName>
    <definedName name="Rekapitulace_4a">'OBJEKT_CELKOVÉ NÁKLADY'!#REF!</definedName>
    <definedName name="Rekapitulace_4b">'OBJEKT_CELKOVÉ NÁKLADY'!#REF!</definedName>
    <definedName name="Rekapitulace_4c">'OBJEKT_CELKOVÉ NÁKLADY'!#REF!</definedName>
    <definedName name="Rekapitulace_4d">'OBJEKT_CELKOVÉ NÁKLADY'!#REF!</definedName>
    <definedName name="Rekapitulace_4e">'OBJEKT_CELKOVÉ NÁKLADY'!#REF!</definedName>
    <definedName name="Rekapitulace_5">'OBJEKT_CELKOVÉ NÁKLADY'!#REF!</definedName>
    <definedName name="Rekapitulace_6">'OBJEKT_CELKOVÉ NÁKLADY'!#REF!</definedName>
    <definedName name="Rekapitulace_Dokončovací_práce">'OBJEKT_CELKOVÉ NÁKLADY'!$C$28</definedName>
    <definedName name="Rekapitulace_Doplňky_dodavatele">'OBJEKT_CELKOVÉ NÁKLADY'!#REF!</definedName>
    <definedName name="rekb">'OBJEKT_CELKOVÉ NÁKLADY'!#REF!</definedName>
    <definedName name="rekc">'OBJEKT_CELKOVÉ NÁKLADY'!#REF!</definedName>
    <definedName name="rekd">'OBJEKT_CELKOVÉ NÁKLADY'!#REF!</definedName>
    <definedName name="reke">'OBJEKT_CELKOVÉ NÁKLADY'!#REF!</definedName>
    <definedName name="rekf">'OBJEKT_CELKOVÉ NÁKLADY'!#REF!</definedName>
    <definedName name="rekg">'OBJEKT_CELKOVÉ NÁKLADY'!#REF!</definedName>
  </definedNames>
  <calcPr fullCalcOnLoad="1"/>
</workbook>
</file>

<file path=xl/sharedStrings.xml><?xml version="1.0" encoding="utf-8"?>
<sst xmlns="http://schemas.openxmlformats.org/spreadsheetml/2006/main" count="1311" uniqueCount="544">
  <si>
    <t>Koleno HTB, úhel 45°, DN 75</t>
  </si>
  <si>
    <t>Izolace návleková  tl. stěny 20 mm vnitřní průměr 32 mm</t>
  </si>
  <si>
    <t>počet mj</t>
  </si>
  <si>
    <t>cena mj</t>
  </si>
  <si>
    <t>cena celkem</t>
  </si>
  <si>
    <t>Rekapitulace</t>
  </si>
  <si>
    <t>Celkem základní cena</t>
  </si>
  <si>
    <t>Náklady umístění stavby (NÚS)</t>
  </si>
  <si>
    <t>Zařízení staveniště</t>
  </si>
  <si>
    <t>DPH stavby</t>
  </si>
  <si>
    <t>Celkem vč. DPH</t>
  </si>
  <si>
    <t>Poznámky pro uchazeče</t>
  </si>
  <si>
    <t>Jednotkové ceny by měly obsahovat:</t>
  </si>
  <si>
    <t>b) náklady na opatření k zajištění bezpečnosti práce</t>
  </si>
  <si>
    <t xml:space="preserve">e) náklady na protihluková a protiprašná zařízení </t>
  </si>
  <si>
    <t>Některé výměry v této specifikaci jsou orientační (převážně jsou uvažovány na horní hranici možných dodávek a prací); je žádoucí, aby fakturovány byly pouze skutečně provedené práce.</t>
  </si>
  <si>
    <t>Nedílnou součástí tohoto výkazu je i projektová dokumentace. Pokud dle názoru dodavatele některé práce a dodávky ve výkazu výměr chybí, doplní je do oddílu "Doplňky dodavatele".</t>
  </si>
  <si>
    <t>kpl</t>
  </si>
  <si>
    <t>m2</t>
  </si>
  <si>
    <t>Celkem</t>
  </si>
  <si>
    <t>ks</t>
  </si>
  <si>
    <t>m</t>
  </si>
  <si>
    <t>t</t>
  </si>
  <si>
    <t>počet</t>
  </si>
  <si>
    <t>celkem</t>
  </si>
  <si>
    <t>HZS</t>
  </si>
  <si>
    <t>%</t>
  </si>
  <si>
    <t>2</t>
  </si>
  <si>
    <t>D</t>
  </si>
  <si>
    <t>M</t>
  </si>
  <si>
    <t>kg</t>
  </si>
  <si>
    <t>Pokud není samostaně uvedeno v jedn. cenách kalkulována svislá doprava vč. naložení na dopravní prostředek</t>
  </si>
  <si>
    <t>Pokud nejsou výrobky vyspecifikovány ve výkazu, platí specifikace uvedená v projektové dokumentaci</t>
  </si>
  <si>
    <t>Dokončovací práce</t>
  </si>
  <si>
    <t>M+D</t>
  </si>
  <si>
    <t>2a</t>
  </si>
  <si>
    <t>2b</t>
  </si>
  <si>
    <t>2c</t>
  </si>
  <si>
    <t>2d</t>
  </si>
  <si>
    <t>2e</t>
  </si>
  <si>
    <t>2f</t>
  </si>
  <si>
    <t>2g</t>
  </si>
  <si>
    <t>Konstrukce zámečnické</t>
  </si>
  <si>
    <t xml:space="preserve">Přesun hmot, doprava, režie - stanovený procentní sazbou </t>
  </si>
  <si>
    <t>Soupis stavebních prací, výkonů a služeb</t>
  </si>
  <si>
    <t>Pokud nejsou výměry uvedeny ve vzorci u jednotlivých buněk, byly změřeny z CAD výkresu</t>
  </si>
  <si>
    <t>Přesun hmot, doprava, režie - stanovený procentní sazbou</t>
  </si>
  <si>
    <t>f) náklady na zkoušky a atesty během výstavby, výkresy skutečného provedení a zúčtovací podklady</t>
  </si>
  <si>
    <t>g)  náklady na požadované záruky, pojištění a ostatní finanční náklady</t>
  </si>
  <si>
    <t>2h</t>
  </si>
  <si>
    <t>Stěny a příčky</t>
  </si>
  <si>
    <t>Stropy a stropní konstrukce</t>
  </si>
  <si>
    <t>Montáž revizních dvířek kovových</t>
  </si>
  <si>
    <t>Zdravotechnika - vnitřní kanalizace</t>
  </si>
  <si>
    <t>Zdravotechnika - vnitřní vodovod</t>
  </si>
  <si>
    <t xml:space="preserve">Zdravotechnika - zařizovací předměty, armatury </t>
  </si>
  <si>
    <t>Vzduchotechnika</t>
  </si>
  <si>
    <t>Konstrukce truhlářské</t>
  </si>
  <si>
    <t>Podlahy z dlaždic</t>
  </si>
  <si>
    <t>Provedení penetrace povrchu vč. dodávky</t>
  </si>
  <si>
    <t>Provedení hydroizolační stěrky na svislé ploše za studena vč. systémových prvků</t>
  </si>
  <si>
    <t>Provedení hydroizolační stěrky na vodorovné ploše za studena vč. systémových manžet</t>
  </si>
  <si>
    <t>KDI1-M</t>
  </si>
  <si>
    <t>KDI1-D</t>
  </si>
  <si>
    <t>Těsnící stěrka, předpokládaná spotřeba 1,2 kg/m2</t>
  </si>
  <si>
    <t>Těsnící stěrka, předpokládaná spotřeba 1,5 kg/m2</t>
  </si>
  <si>
    <t>Sádrokartonová impregnovaná deska, vč. prořezu 10%</t>
  </si>
  <si>
    <t>Potrubí kanalizační z PP připojovací systém HT DN 50</t>
  </si>
  <si>
    <t>Potrubí kanalizační z PP připojovací systém HT DN 75</t>
  </si>
  <si>
    <t>Potrubí kanalizační z PP připojovací systém HT DN 110</t>
  </si>
  <si>
    <t>Redukce nesouosá HTR, DN 75/50</t>
  </si>
  <si>
    <t>Odbočka HTEA, úhel 45°, DN 75/50</t>
  </si>
  <si>
    <t>Koleno HTB, úhel 45°, DN 50</t>
  </si>
  <si>
    <t>Zkouška těsnosti potrubí kanalizace vodou do DN 125</t>
  </si>
  <si>
    <t>Zkouška těsnosti vodovodního potrubí hrdlového nebo přírubového do DN 100</t>
  </si>
  <si>
    <t>Proplach a dezinfekce vodovodního potrubí do DN 80</t>
  </si>
  <si>
    <t>Příplatek za nestandardní povrchovou úpravu Q3</t>
  </si>
  <si>
    <t>KD1-D</t>
  </si>
  <si>
    <t>SOK1-D</t>
  </si>
  <si>
    <t>SOK1-M</t>
  </si>
  <si>
    <t>D4-D</t>
  </si>
  <si>
    <t>D1-D</t>
  </si>
  <si>
    <t>Koleno HTB, úhel 87°, DN 50</t>
  </si>
  <si>
    <t>Uložení ostatních vybouraných hmot na skládku vč. poplatků za skládkovné</t>
  </si>
  <si>
    <t>Vnitrostaveništní doprava suti a vybouraných hmot</t>
  </si>
  <si>
    <t>Vodorovné přemístění suti na skládku do 6000 m</t>
  </si>
  <si>
    <t>Příplatek za dalších započatých 1000 m nad 6000 m</t>
  </si>
  <si>
    <t>Vyvěšení dřevěných dveřních křídel pl. do 2 m2</t>
  </si>
  <si>
    <t>Demontáž klozetu včetně splachovací nádrže</t>
  </si>
  <si>
    <t>Demontáž umyvadla včetně baterie a konzol</t>
  </si>
  <si>
    <t>Demontáž uzávěrek zápachových jednoduchých</t>
  </si>
  <si>
    <t>Uložení dřevěných vybouraných hmot na skládku vč. poplatků za skládkovné</t>
  </si>
  <si>
    <t>2i</t>
  </si>
  <si>
    <t>2j</t>
  </si>
  <si>
    <t>2k</t>
  </si>
  <si>
    <t>2l</t>
  </si>
  <si>
    <t>2m</t>
  </si>
  <si>
    <t>Autonomní hlásič kouře</t>
  </si>
  <si>
    <t>Dodávka a montáž kuchyňské linky - bez spotřebičů</t>
  </si>
  <si>
    <t>Uzávěrka zápachová pračková podomítková společná s připojovacím kolenem na vodovod, nerez krytka</t>
  </si>
  <si>
    <t>Materiál + montáž silnoproudých rozvodů celkem</t>
  </si>
  <si>
    <t>Rozvodnice RB celkem</t>
  </si>
  <si>
    <t>Různé</t>
  </si>
  <si>
    <t>soubor</t>
  </si>
  <si>
    <t>Montáž - stanoveno procentní sazbou z dodávky</t>
  </si>
  <si>
    <t>Kompletace - stanoveno procentní sazbou z dodávky</t>
  </si>
  <si>
    <t>Ventil rohový G 1/2 bez připojovací hadičky</t>
  </si>
  <si>
    <t>ELEKTROINSTALACE</t>
  </si>
  <si>
    <t>SILNOPROUD</t>
  </si>
  <si>
    <t>Položka</t>
  </si>
  <si>
    <t>Materiál + montáž</t>
  </si>
  <si>
    <t>materiál</t>
  </si>
  <si>
    <t>montáž</t>
  </si>
  <si>
    <t>jen materiál</t>
  </si>
  <si>
    <t>B - svítidlo stropní  LED,16W, IP20</t>
  </si>
  <si>
    <t>R</t>
  </si>
  <si>
    <t>zásuvka 230V</t>
  </si>
  <si>
    <t>zásuvka 230V  s ochranou před přepětím</t>
  </si>
  <si>
    <t>spínač č.1 - jednopólový</t>
  </si>
  <si>
    <t>spínač č.5 - sériový</t>
  </si>
  <si>
    <t>spínač č. 6 - střídavý</t>
  </si>
  <si>
    <t>rámeček 1x - jednoduchý</t>
  </si>
  <si>
    <t>rámeček 2x, dvojrámeček</t>
  </si>
  <si>
    <t>rámeček 4x, čtyřrámeček</t>
  </si>
  <si>
    <t>krabice přístrojová KP</t>
  </si>
  <si>
    <t>hmoždinky vč.vrutu, vrtání</t>
  </si>
  <si>
    <t>CYKY 3Cx2,5</t>
  </si>
  <si>
    <t>CYKY 3Cx1,5</t>
  </si>
  <si>
    <t>vodič CY 4 - zel.žl.</t>
  </si>
  <si>
    <t>rozvodnice RB</t>
  </si>
  <si>
    <t>přezkoušení vedení</t>
  </si>
  <si>
    <t>práce neoceněné položkami ceníku (drobný pomocný materiál)</t>
  </si>
  <si>
    <t>soub</t>
  </si>
  <si>
    <t>hod</t>
  </si>
  <si>
    <t>revize el.zařízení</t>
  </si>
  <si>
    <t xml:space="preserve">Materiál + montáž silnoproud celkem </t>
  </si>
  <si>
    <t>Rozvodnice RB</t>
  </si>
  <si>
    <t>proudový chránič 25/2/0,03</t>
  </si>
  <si>
    <t>svorkovnice KLM</t>
  </si>
  <si>
    <t>pom.materiál</t>
  </si>
  <si>
    <t>zapojení rozvaděče</t>
  </si>
  <si>
    <t xml:space="preserve">Rozvodnice RB celkem </t>
  </si>
  <si>
    <t>SLABOPROUD</t>
  </si>
  <si>
    <t xml:space="preserve">Materiál + montáž slaboproud celkem </t>
  </si>
  <si>
    <t xml:space="preserve">Celkem </t>
  </si>
  <si>
    <t>Celkové rozpočtové náklady elektroinstalace bez DPH</t>
  </si>
  <si>
    <t xml:space="preserve">DPH </t>
  </si>
  <si>
    <t>Cena vč. DPH</t>
  </si>
  <si>
    <t>Poznámky pro zhotovitele</t>
  </si>
  <si>
    <t xml:space="preserve">Uvedené technické parametry jsou pro zhotovitele závazné. Zhotovitel je oprávněn zvolit jiné, srovnatelné materiály, jež zabezpečí shodnou anebo vyšší technickou hodnotu díla. Nabízené materiály předloží objednateli ke schválení a dosažení požadovaných parametrů doloží hodnověrnými dokumenty (atesty, výsledky zkoušek, doklad o shodě apod.). Kde zhotovitel nabídne srovnatelný výrobek nebo materiál na místo označeného nebo specifikovaného, který byl přijat k začlenění do díla, pak se má zato, že sazby a ceny ve výkazu výměr zahrnují veškeré povinnosti a náklady spojené se začleněním srovnatelného výrobku do díla.  </t>
  </si>
  <si>
    <t xml:space="preserve"> - náklady na opatření k zajištění bezpečnosti práce</t>
  </si>
  <si>
    <t xml:space="preserve"> -  všechny potřebné pomocné dodávky a práce pro upevnění, zabezpečení funkčnosti a finální pohledové 
úpravy, které jsou běžně součástí dodávaného výrobku nebo systému  nebo jsou předepsány projektem a 
nejsou výslovně uvedeny jako samostatné položky ;</t>
  </si>
  <si>
    <t xml:space="preserve"> - náklady na protihluková a protiprašná zařízení </t>
  </si>
  <si>
    <t xml:space="preserve"> - náklady na požadované záruky, pojištění a ostatní finanční náklady.</t>
  </si>
  <si>
    <t xml:space="preserve"> - náklady na prořez a ztratné zabudovaného materiálu</t>
  </si>
  <si>
    <t>Materiál + montáž slaboproud celkem</t>
  </si>
  <si>
    <t>Zakrytí okenních výplní PE folií vč. dodání</t>
  </si>
  <si>
    <t>Stavební úpravy bytové jednotky</t>
  </si>
  <si>
    <t>Stavební přípomoce</t>
  </si>
  <si>
    <t>Izolace návleková  tl. stěny 20 mm vnitřní průměr 25 mm</t>
  </si>
  <si>
    <t>Zrcadlo s poličkou</t>
  </si>
  <si>
    <t>D2-D</t>
  </si>
  <si>
    <t>Řezání dlaždic keramických pro soklíky</t>
  </si>
  <si>
    <t>Podlahová lišta dle specifikace v PD vč. prořezu 10%</t>
  </si>
  <si>
    <t>Izolace návleková  tl. stěny 13 mm vnitřní průměr 25 mm</t>
  </si>
  <si>
    <t>Izolace návleková  tl. stěny 13 mm vnitřní průměr 32 mm</t>
  </si>
  <si>
    <t>Kompletační činnost včetně pravidelného úklidu staveniště</t>
  </si>
  <si>
    <t>SK1-D</t>
  </si>
  <si>
    <t>Odbočka HTEA, úhel 45°, DN 50/50</t>
  </si>
  <si>
    <t>SOK2-D</t>
  </si>
  <si>
    <t>SOK2-M</t>
  </si>
  <si>
    <t>Malba disperzní, penetrace 1x, malba bílá 2x, STĚNY</t>
  </si>
  <si>
    <t>Malba disperzní, penetrace 1x, malba bílá 2x, STROPY</t>
  </si>
  <si>
    <t>rámeček 3x, trojrámeček</t>
  </si>
  <si>
    <t>o</t>
  </si>
  <si>
    <t>Rozdělení podle investic a oprav (bez NÚS a DPH)</t>
  </si>
  <si>
    <t>Opravy</t>
  </si>
  <si>
    <t>Investice</t>
  </si>
  <si>
    <t>Rozdělení NÚS podle investic a oprav</t>
  </si>
  <si>
    <t>Rozdělení podle investic a oprav vč. NÚS bez DPH</t>
  </si>
  <si>
    <t>i</t>
  </si>
  <si>
    <t>Cena bez DPH</t>
  </si>
  <si>
    <t>m3</t>
  </si>
  <si>
    <t>Keramická dlažba dle specifikace v PD vč. prořezu 10%, včetně lepícího tmelu</t>
  </si>
  <si>
    <t>KD(I)1-M</t>
  </si>
  <si>
    <t xml:space="preserve">Demontáž připojovacího potrubí kanalizace, vodovodu </t>
  </si>
  <si>
    <t>Umyvadlo keramické připevněné na stěnu šrouby vč. pilety clickclack- specifikace dle PD</t>
  </si>
  <si>
    <t>2n</t>
  </si>
  <si>
    <t>Přípravné a bourací práce</t>
  </si>
  <si>
    <t>Keramická dlažba dle specifikace v PD (sokl - proveden pásky 80 mm z řezané dlažby, 2ks z dlaždice)</t>
  </si>
  <si>
    <t xml:space="preserve">Tmelení akrylátovým tmelem </t>
  </si>
  <si>
    <t>Úpravy povrchů vnitřní (stěny, stropy)</t>
  </si>
  <si>
    <t xml:space="preserve">Stavební přípomoce </t>
  </si>
  <si>
    <t>Hydroizolační koutová těsnící páska vč. rohových tvarovek (svislé stěny)</t>
  </si>
  <si>
    <t xml:space="preserve">Odebrání škvárového násypu </t>
  </si>
  <si>
    <t>DU1</t>
  </si>
  <si>
    <t>DU2</t>
  </si>
  <si>
    <t>DU1,2</t>
  </si>
  <si>
    <t>DU3-M</t>
  </si>
  <si>
    <t>DU3-D</t>
  </si>
  <si>
    <t>Odstranění stávajících nesoudržných maleb oškrábáním (strop, stěny), odhad 100% plochy</t>
  </si>
  <si>
    <t>T01</t>
  </si>
  <si>
    <t xml:space="preserve"> </t>
  </si>
  <si>
    <t>Vybourání podezdívky vany z cihel</t>
  </si>
  <si>
    <t>Demontáž vany</t>
  </si>
  <si>
    <t>Z01</t>
  </si>
  <si>
    <t>DU4</t>
  </si>
  <si>
    <t>D3-D</t>
  </si>
  <si>
    <t xml:space="preserve">Montáž dřevěné soklové podlahové lišty </t>
  </si>
  <si>
    <t>Výztuž mazaniny svařovanými sítěmi Kari 100/100/4</t>
  </si>
  <si>
    <t>Separační vrstva z PE fólie</t>
  </si>
  <si>
    <t>Položení podlah lamelových se zámkovým spojem</t>
  </si>
  <si>
    <t>Přírážka za plošné lepení k podkladu, vč. lepidla</t>
  </si>
  <si>
    <t>Podlahy lamelové - dřevo, specifikace dle PD, vč. prořezu 10%</t>
  </si>
  <si>
    <t>Demontáž baterie</t>
  </si>
  <si>
    <t>Revizní sdk dvířka pro obklad s tlačným zámkem a závesy 200/300mm (u uzávěru vody a vodměru), včetně kotvícího materiálu</t>
  </si>
  <si>
    <t>Plynovod</t>
  </si>
  <si>
    <t>Chránička DN50, vč. požárního utěsnění</t>
  </si>
  <si>
    <t>Hadice flexi plyn 500 mm 1/2"</t>
  </si>
  <si>
    <t>Zkouška plynu dle ČSN, zkouška pevnosti a těsnosti</t>
  </si>
  <si>
    <t>Provedení revize plynovodu</t>
  </si>
  <si>
    <t xml:space="preserve">Větrací plastová mřížka do SDK podhledu, rozměr 100/100mm nebo průměr 100mm (větrání plynu)  včetně kotvícího materiálu </t>
  </si>
  <si>
    <t xml:space="preserve">Elektroinstalace - silnoproud </t>
  </si>
  <si>
    <t>Elektroinstalace - slaboproud</t>
  </si>
  <si>
    <r>
      <rPr>
        <i/>
        <sz val="10"/>
        <rFont val="Arial CE"/>
        <family val="2"/>
      </rPr>
      <t>Investor:</t>
    </r>
    <r>
      <rPr>
        <sz val="14"/>
        <rFont val="Arial CE"/>
        <family val="2"/>
      </rPr>
      <t xml:space="preserve"> Městská Část Praha 5 zastoupená firmou Centra a.s.</t>
    </r>
  </si>
  <si>
    <t>A – svítidlo  nástěnné LED , 16W, IP20</t>
  </si>
  <si>
    <t>autonomní detektor kouře</t>
  </si>
  <si>
    <t>svorka Bernard vč.Cu pásku</t>
  </si>
  <si>
    <t>krabicová rozvodka KR 68</t>
  </si>
  <si>
    <t>ukončení vodiče</t>
  </si>
  <si>
    <t>frézování drážky na stěnách a stropech</t>
  </si>
  <si>
    <t>sekání průrazů</t>
  </si>
  <si>
    <t>sekání (vrtání) otvoru pro krabice</t>
  </si>
  <si>
    <t>demontážní práce</t>
  </si>
  <si>
    <t>proudový chránič 16/1N/0,03</t>
  </si>
  <si>
    <t>Jistič 10/1-B, 10kA</t>
  </si>
  <si>
    <t>Jistič 16/1-B, 10kA</t>
  </si>
  <si>
    <t>televizní zásuvka STA</t>
  </si>
  <si>
    <t>krabice přístrojová</t>
  </si>
  <si>
    <t>koaxiální kabel</t>
  </si>
  <si>
    <t>trubka PVC 2323</t>
  </si>
  <si>
    <t xml:space="preserve">přesun hmot, doprava </t>
  </si>
  <si>
    <t>Vybourání ocelových dveřních zárubní pl. do 2 m2 ze zdiva vč. prahu</t>
  </si>
  <si>
    <t>Vybourání obkladů z obkladaček keramických lepených</t>
  </si>
  <si>
    <t>Demontáž obkladů ze dřeva</t>
  </si>
  <si>
    <t>Vybourání dřevěných prken do tl. 30mm</t>
  </si>
  <si>
    <t>Bourání zděných příček  do tl. 20 cm</t>
  </si>
  <si>
    <t>Příčka z tvárnic porobet. tl. 100 mm hlad. P2,5-450 vč. spražení s zděnou stěnou (navrtané trny nebo pásovina do každé třetí spáry po cca 1,0 m</t>
  </si>
  <si>
    <t>PR1</t>
  </si>
  <si>
    <t>Baterie umyvadlová směšovací stojánková páková vč.flexo hadiček</t>
  </si>
  <si>
    <t>Baterie dřezová stojánková páková směšovací, chrom,  vč.flexo hadiček - specifikace dle PD</t>
  </si>
  <si>
    <t>Vana smaltovaná 1600/700mm vč. sifonu a vanového odtokového setu s otočným ovladačem - specifikace dle PD</t>
  </si>
  <si>
    <t>Úhelník rovnoramenný L jakost S235   50x 50x 3 mm</t>
  </si>
  <si>
    <t>KD(I) 1 - D</t>
  </si>
  <si>
    <t>KD(I) 1 - M</t>
  </si>
  <si>
    <t>KD(I) 1</t>
  </si>
  <si>
    <t xml:space="preserve">opravy </t>
  </si>
  <si>
    <t xml:space="preserve">investice </t>
  </si>
  <si>
    <t xml:space="preserve">kontrola </t>
  </si>
  <si>
    <t>Demontáž truhlářských konstrukcí - skříně kuchňské linky, police komory</t>
  </si>
  <si>
    <t>Demontáž plynových spotřebičů (plyn. kotel, sporák) a likvidace</t>
  </si>
  <si>
    <t>Vybourání dř. hranolů - polštářů 40/80 (odhad)</t>
  </si>
  <si>
    <t>Vybourání dřevěných oken</t>
  </si>
  <si>
    <t>Příčka z tvárnic porobet. tl. 75 mm hlad. P2,5-450 vč. spražení s zděnou stěnou (navrtané trny nebo pásovina do každé třetí spáry po cca 1,0 m</t>
  </si>
  <si>
    <t>Překlad nenosný z pórobetonu 125 x 25 x 7,5 cm</t>
  </si>
  <si>
    <t>SK2-D</t>
  </si>
  <si>
    <t>Sádrokartonová deska, vč. prořezu 10%</t>
  </si>
  <si>
    <t>SK1,2-M</t>
  </si>
  <si>
    <t xml:space="preserve">Vápenocementová omítka, oprava po vybourání obkladů, rýh ve stěnách šířky do 150 mm (začištění drážek vedení instalací), vysprávky vnitřních omítek stěn a stropů (zapravení stávajících poruch)  odhad 5% z celkové plochy omítek. </t>
  </si>
  <si>
    <t>Odstranění nesoudržných štukových omítek (odhad 5% z plochy stěn a stropů)</t>
  </si>
  <si>
    <t>DU5</t>
  </si>
  <si>
    <t>Demontáž potrubí plynu</t>
  </si>
  <si>
    <t>Obkládání stěn vnitř.keram. do tmele do 200x400 mm vč. spárování</t>
  </si>
  <si>
    <t>Potrubí ocelové závitové černé svařované DN 20</t>
  </si>
  <si>
    <t>Plynové kotel, specifikace dle PD část D14</t>
  </si>
  <si>
    <t>Klozet závěsný s hlubokým splachováním odpad vodorovný, vč. sedátka  - specifikace dle PD</t>
  </si>
  <si>
    <t>Předstěnový systém pro závěsné WC pro zazdění, h=108cm, přední ovládání Sigma</t>
  </si>
  <si>
    <t>Tlačítko ovládací plastové dvojčinné, Sigma 20/bílá/chrom/bíla</t>
  </si>
  <si>
    <t>Práh dřevěný d. 800 mm, š.150mm, vč. povrchové úpravy a kotvení</t>
  </si>
  <si>
    <t>D1-4-M</t>
  </si>
  <si>
    <t>D5-M</t>
  </si>
  <si>
    <t xml:space="preserve">Montáž dveří do ocelové zárubně </t>
  </si>
  <si>
    <t>Protipožární zárubeň ocelová 800/1970 do hotového otvoru, ústí do 150mm dle specifikace v PD, včetně povrchové úpravy</t>
  </si>
  <si>
    <t>DP1- D</t>
  </si>
  <si>
    <t>Podlahy dřevěné a povlakové</t>
  </si>
  <si>
    <t>Sádrový štuk nanášen ručně na betonové stropy, vč. zbroušení v návaznosti na stávající omítku  (v místě drážek osvětlení šířky do 150 mm), vč. penetrace</t>
  </si>
  <si>
    <t>Lišta hliníková přechodová, různý typ podlahové krytiny. Podrobně viz tabulka prvků PSV</t>
  </si>
  <si>
    <t>Repase nátěru stávajícího zábradlí fr. okna, odstranění rzi, základní nátěr, 2x  finální nátěr, kontrola případně úprava kotvení</t>
  </si>
  <si>
    <t>Etážové topení</t>
  </si>
  <si>
    <t>2o</t>
  </si>
  <si>
    <t>příčky komora (2,22*2,45)-0,7*2,05</t>
  </si>
  <si>
    <t>koupelna, WC (4,27+1,58)*2,45-0,8*2,05-0,7*2,05-0,87*0,58</t>
  </si>
  <si>
    <t>chodba 0,92*2,45-0,9*2,05</t>
  </si>
  <si>
    <t>Demontáž polystyrenového podhledu</t>
  </si>
  <si>
    <t>0,92*2,47-0,8*2,05+2,39*2,47</t>
  </si>
  <si>
    <t>Příčka z tvárnic porobet. tl. 125 mm hlad. P2,5-450 vč. spražení s zděnou stěnou (navrtané trny nebo pásovina do každé třetí spáry po cca 1,0 m</t>
  </si>
  <si>
    <t>101.02 = 0</t>
  </si>
  <si>
    <t>101.03 = 0</t>
  </si>
  <si>
    <t>DU3</t>
  </si>
  <si>
    <t>DU2,4</t>
  </si>
  <si>
    <t>Odbočka HTEA,  DN100/50/67° napojená na litinové potrubí</t>
  </si>
  <si>
    <t>Stavební přípomoce (drážky pro potrubí ve stěně, prostupy) vč. zakrytí drážky  vápenocementovou omítkou</t>
  </si>
  <si>
    <t>VZT potrubí plastové ploché obdelníkové potrubí 60/204mm včetně spojek a upevňovacích spon</t>
  </si>
  <si>
    <t>Oblouk horizontální 90°</t>
  </si>
  <si>
    <t>Oblouk vertikální 90°</t>
  </si>
  <si>
    <t>Průchodka s plochého 60/204 na kruhové prům 100mm</t>
  </si>
  <si>
    <t>Zpětná klapka pro ploché potrubí 60/204 mm</t>
  </si>
  <si>
    <t>Hladké potrubí průměru 100mm</t>
  </si>
  <si>
    <t>Mřížka pro výfuk 100/100mm</t>
  </si>
  <si>
    <t>Hladké potrubí průměru 125mm</t>
  </si>
  <si>
    <t>Redukce z 100/125mm</t>
  </si>
  <si>
    <t>Lišta hliníková ukončující, různý typ podlahové krytiny. Podrobně viz tabulka prvků PSV</t>
  </si>
  <si>
    <t>Demontáž ocelových těles UT vč. potrubí</t>
  </si>
  <si>
    <t>Nátěr syntetický potrubí do DN 50 mm základní + barevný 2x</t>
  </si>
  <si>
    <t>Obklad soklíků keram.rovných, výška 80 mm do lepidla + spár. tmel vč. úpravy horní hrany v návaznosti na omítku</t>
  </si>
  <si>
    <t>DP1- M</t>
  </si>
  <si>
    <t>Demontáž dřevěné podlahy - opatrná demontáž vlysů a uskladnění</t>
  </si>
  <si>
    <t>Bourání nového prostupu pro plyn těsně pod stropem, tl stěny 300mm</t>
  </si>
  <si>
    <t>Chránička DN30</t>
  </si>
  <si>
    <t>(3,05+1,19)*2,47-2*0,8*2,05</t>
  </si>
  <si>
    <t>parapety 0</t>
  </si>
  <si>
    <t>Podezdívka vany (š.700mm, l.1,6m) výšky do 600 mm  tl. 125 mm vč.provedení revizního otvoru pro obklad (200/400mm) na silikon</t>
  </si>
  <si>
    <t>Úprava polohy vodoměru a uzávěru vody</t>
  </si>
  <si>
    <t>Plynový kouhout 1/2" rohový, montáž pod omítku s integrovaným protipožárním ventilem (připojení kotel)</t>
  </si>
  <si>
    <t xml:space="preserve">Prostorový termostat </t>
  </si>
  <si>
    <t>Další potřebné příslušenství pro napojené plynového kotle</t>
  </si>
  <si>
    <t>Revizní kus na potrubí nad kotlem - kocentrické potrubí DN 80/125mm</t>
  </si>
  <si>
    <t>Adaptér pro paralelní odkouření 2x80mm</t>
  </si>
  <si>
    <t>Potrubí pro přívod spalovaného vzduchu a odkouření, PP hladké potrubí průměr 80mm, včetně příslušenství  (kotvící prvky a pod)</t>
  </si>
  <si>
    <t>Koleno 87° PP potrubí DN80mm</t>
  </si>
  <si>
    <t>Koleno 45°PP potrubí DN80mm</t>
  </si>
  <si>
    <t>Mřížka lakovaný AL na fasádě pro potrubí DN80</t>
  </si>
  <si>
    <t xml:space="preserve">Základní sada pro odvod spalin pružnou trubkou DN83 vsazenou do komína, plast PP (ohebná trubka, rozpěrné držáky, trubka vyústění, kryt komínové šachty, </t>
  </si>
  <si>
    <t>Patní koleno s podpěrou DN 80, PP</t>
  </si>
  <si>
    <t>Nástěnný kondenzační sifon s kuličkou vč. hadice 0,5m pro napojení na kondenzační misku - umístěno v nice</t>
  </si>
  <si>
    <t>Dokumentace skutečného provedení (2 vyhotovení, včetně zakreslení a okótování vedení plynového potrubí)</t>
  </si>
  <si>
    <t>Revizní sdk dvířka pro obklad s tlačným zámkem a závesy 200/400mm (pod kotlem), včetně kotvícího materiálu</t>
  </si>
  <si>
    <t>Set k odvodu kondenzátu</t>
  </si>
  <si>
    <t>Stavební úpravy bytové jednotky 1, Na Šmukýřce 915/27, Praha 5 - Košíře</t>
  </si>
  <si>
    <t>svítidlo  pod linku s vypínačem</t>
  </si>
  <si>
    <t>pokojový termostat</t>
  </si>
  <si>
    <t>CYKYLo 3Cx1,5</t>
  </si>
  <si>
    <t>zapojení digestoře</t>
  </si>
  <si>
    <t>rozvaděč provedení na povrch, IP30,18 modulů</t>
  </si>
  <si>
    <t>krabice s víčkem ( STA, DT)</t>
  </si>
  <si>
    <t>1,125*2,47+(0,88+0,6)*2</t>
  </si>
  <si>
    <t>Potrubí měděné polotvrdé spojované měkkým pájením D 15x1</t>
  </si>
  <si>
    <t>Potrubí měděné polotvrdé spojované měkkým pájením D 18x1</t>
  </si>
  <si>
    <t>Potrubí měděné polotvrdé spojované měkkým pájením D 22x1</t>
  </si>
  <si>
    <t>Ventily uzavírací kulové Giacomini R 250 D, G1</t>
  </si>
  <si>
    <t>Kulový uzavírací ventil s filtrem Pettinaroli 51 F, G1</t>
  </si>
  <si>
    <t>Kohouty plnící a vypouštěcí ČSN 13 7061, G1/2</t>
  </si>
  <si>
    <t>Ventily odvzdušňovací radiátorové V 4320, G1/4</t>
  </si>
  <si>
    <t>Ocelové deskové tělesa Korado Radik ventil kompakt  21VK600/400</t>
  </si>
  <si>
    <t>Ocelové deskové tělesa Korado Radik ventil kompakt  33VK600/1100</t>
  </si>
  <si>
    <t>Ocelové deskové tělesa Korado Radik ventil kompakt  33VK600/400</t>
  </si>
  <si>
    <t>Tepelná izolace Armaflex ACE (vnější průměr potrubí/tloušťka izolace  15/8</t>
  </si>
  <si>
    <t>Tepelná izolace Armaflex ACE (vnější průměr potrubí/tloušťka izolace 18/11,5</t>
  </si>
  <si>
    <t>Tepelná izolace Armaflex ACE (vnější průměr potrubí/tloušťka izolace  22/14,5</t>
  </si>
  <si>
    <t>Napuštění topného systému včetně odvzdušnění</t>
  </si>
  <si>
    <t>Stavební přípomoce - drážky, prostupy, zapravení</t>
  </si>
  <si>
    <t>SK2</t>
  </si>
  <si>
    <t>3,7+4+5,5</t>
  </si>
  <si>
    <t>Montáž kapotáže sdk vzt potrubí v pokoji a u digestoře</t>
  </si>
  <si>
    <t>(0,35+0,15)*4,17 + 1,1</t>
  </si>
  <si>
    <t xml:space="preserve">Potrubí vodovodní plastové PPR svar polyfuze PN 20 DN 16 </t>
  </si>
  <si>
    <t xml:space="preserve">Potrubí vodovodní plastové PPR svar polyfuze PN 20 DN 20 </t>
  </si>
  <si>
    <t>např. MORA VT 433 BX, cena 4150,-Kč</t>
  </si>
  <si>
    <t>např. MORA VDP 645 GB3, cena 3650,- Kč</t>
  </si>
  <si>
    <t>https://www.alza.cz/mora-vdp-645gb3-d5129956.htm?kampan=adw2_bile-elektro_pla_all_bile-elektro-css_vestavne_c_9062895_1o5_MORVD001&amp;gclid=EAIaIQobChMIpc_ysJiP5QIVWOd3Ch3d4wJUEAYYBSABEgLruPD_BwE</t>
  </si>
  <si>
    <t>https://www.alza.cz/mora-vt-433-bx-d5129962.htm</t>
  </si>
  <si>
    <t>https://www.elektrocz.com/p272214-faber-maxima-touch-ev8-x-a60/</t>
  </si>
  <si>
    <t>např. FABER MAXIMA TOUCH EV8 X A60, cena 5950,- kč</t>
  </si>
  <si>
    <t>Vyvložkování komínu</t>
  </si>
  <si>
    <t>přesun hmot, doprava ESI</t>
  </si>
  <si>
    <t>přesun hmot, doprava ESA</t>
  </si>
  <si>
    <t>Závěrečný úklid b.j. vč. mytí schodišť a vstupních prostor</t>
  </si>
  <si>
    <t>Demontáž stávající komínové vložky flexi AL 130mm (rezerva)</t>
  </si>
  <si>
    <t xml:space="preserve">Odstranění PVC a koberců lepených bez podložky </t>
  </si>
  <si>
    <t>Bourání mazanin betonových tl. 10 cm, nad 4 m2, pneumat. kladivo, tl. mazaniny 5 - 8 cm</t>
  </si>
  <si>
    <t>Příplatek k podhledu sádrokart. za plochu do 10 m2 (2-5m2)</t>
  </si>
  <si>
    <t>Příplatek k podhledu sádrokart. za plochu do 10 m2 (5-10m2)</t>
  </si>
  <si>
    <t>Omítka vnitřních stěn vápenocem. Jednovrstvá nanášená ručně, tl. vrstvy 5 mm</t>
  </si>
  <si>
    <t>Penetrace podkladu pod obklady vč. materiálu</t>
  </si>
  <si>
    <t>Bandáž koutů - provedení</t>
  </si>
  <si>
    <t>D+M</t>
  </si>
  <si>
    <t>Nástěnný komplet FF PPR PN 20 20 x 1/2" mm závit vnitřní</t>
  </si>
  <si>
    <t>Nástěnka závitová plastová PPR PN 20 DN 20 montáž</t>
  </si>
  <si>
    <t>Nástěnka PPR PN 20 20 x 1/2" mm závit vnitřní</t>
  </si>
  <si>
    <t>Montáž klozetu závěsného</t>
  </si>
  <si>
    <t>Montáž předstěnových systémů pro zazdění</t>
  </si>
  <si>
    <t>Montáž umyvadel na šrouby do zdiva</t>
  </si>
  <si>
    <t>Umývátko 400/340 (ref. Jika Lyra+) vč. pilety clickclack</t>
  </si>
  <si>
    <t>Montáž ventilu odpadního do D 50 mm</t>
  </si>
  <si>
    <t>Umyvadlový sifon nerez</t>
  </si>
  <si>
    <t>Vanový sifon automat chrom</t>
  </si>
  <si>
    <t xml:space="preserve">Baterie vanová nástěnná páková včetně sprchového setu a příslušenství - specifikace dle PD  </t>
  </si>
  <si>
    <t>Zástěna vany (ref. výrobek Roltechnik TV1/700)</t>
  </si>
  <si>
    <t>Dřez jednoduchý nerezový (400x500x15,5) s přepadovým otvorem pro montáž do kuchyňské desky, specifikace dle PD</t>
  </si>
  <si>
    <t xml:space="preserve">Dřezový sifon s flexi přepadem a clickcklak uzávěrem </t>
  </si>
  <si>
    <t>Baterie umyvadlová stoján. ruční, bez otvír.odpadu, standard vč. flexo hadiček</t>
  </si>
  <si>
    <t xml:space="preserve">Ventil pračkový se zpět.klapkou a filtrem </t>
  </si>
  <si>
    <t>Sifon pračkový HL404.1, D 40/50 mm nerezový, podomít.uzáv. s přivzd.vent. krycí deska 225x100mm</t>
  </si>
  <si>
    <t>Sifon pračkový HL410, D 40 mm, nástěnný PP - bílý - pro připojení myčky</t>
  </si>
  <si>
    <t>Kondenzační sifon podomítkový HL138 zápachová uzávěrka</t>
  </si>
  <si>
    <t>Montáž potrubí plastového čtyřhranného do 0,03 m2</t>
  </si>
  <si>
    <t>Montáž potrubí plastového kruhového do d 100 mm</t>
  </si>
  <si>
    <t>Montáž potrubí plastového kruhového do d 200 mm</t>
  </si>
  <si>
    <t>Montáž stříšky nebo hlavice plech.4hran.do 0,07 m2</t>
  </si>
  <si>
    <t>Nadstřěšní větrací protidešťová hlavice</t>
  </si>
  <si>
    <t xml:space="preserve">Další nespecifikovaný materiál </t>
  </si>
  <si>
    <t>Ventil term.přímý,vnitř.z. Heimeier STANDARD DN 15 vč. s termostatickou hlavicí Heimeier B</t>
  </si>
  <si>
    <t>Tlaková zkouška Cu potrubí do D 35</t>
  </si>
  <si>
    <t>Dveře dřevěné vnitřní 1křídlové 70x197 cm včetně obložkové zárubně dle specifikace v PD (ref. výrobek Fenix)</t>
  </si>
  <si>
    <t>Dveře dřevěné vnitřní 1křídlové prosklené 80x197 cm včetně obložkové zárubně dle specifikace v PD (ref. výrobek Fenix)</t>
  </si>
  <si>
    <t>Dveře dřevěné vnitřní 1křídlové 80x197 cm včetně obložkové zárubně dle specifikace v PD (ref. výrobek Fenix)</t>
  </si>
  <si>
    <t>Dveře dřevěné vstupní 1křídlové 80x197 cm, s požární odlností EI30DP3, dle specifikace v PD (ref. výrobek Fenix)</t>
  </si>
  <si>
    <t>Montáž kliky, štítku a vložky</t>
  </si>
  <si>
    <t>Montáž zárubní montovat.1kř. hl. 150, š. do 80 cm</t>
  </si>
  <si>
    <t>Montáž obložkové zárubně a dřevěného křídla dveří</t>
  </si>
  <si>
    <t>Deska varná vestavná plynová dle specifikace v PD (např. MORA VDP 645 GB3)</t>
  </si>
  <si>
    <t>Vestavná el. trouba dle specifikace v PD (např. MORA VT 433 BX)</t>
  </si>
  <si>
    <t>Vestavná nerezová digestoř dle specifikace v PD (FABER MAXIMA TOUCH EV8 X A60), vč. montáže</t>
  </si>
  <si>
    <t>Osazení ocelových uhelníků L 50/50/3mm vč. provedení kapsy</t>
  </si>
  <si>
    <t>Montáž podlah keram.,režné hladké, včetně lepícího tmelu, 33x33cm vč. spárování</t>
  </si>
  <si>
    <t>Hydroizolační koutová těsnící páska vč. rohových tvarovek (vororovné plochy)vč. prořezu</t>
  </si>
  <si>
    <t>Poznámky</t>
  </si>
  <si>
    <t>Deska z EPS 100, 1000x5000x40 (20, 30)</t>
  </si>
  <si>
    <t>Deska z EPS 100, 1000x5000x40 (50, 30)</t>
  </si>
  <si>
    <t>DP1,2 - M</t>
  </si>
  <si>
    <t>Montáž tepelné izolace podlah volně kladenými deskami 2 vrstvy</t>
  </si>
  <si>
    <t xml:space="preserve">Mazanina betonová C16/20 tl. 5 - 8 cm </t>
  </si>
  <si>
    <t xml:space="preserve">DP1,2 </t>
  </si>
  <si>
    <t>Montáž dilatačního pásku podél stěn, vč. materiálu 15x100x1000 mm</t>
  </si>
  <si>
    <t>Ocelový plech 330/2000/5 mm</t>
  </si>
  <si>
    <t>Obsyp pískem podél kanalizačního potrubí</t>
  </si>
  <si>
    <t>DP2a</t>
  </si>
  <si>
    <t>poznámky</t>
  </si>
  <si>
    <t>101.02 = 8,12*2,45-(0,8*2,05+0,56*1,38)</t>
  </si>
  <si>
    <t>101.03 = 8,1*2,45-(0,8*2,05+0,57*1,38)</t>
  </si>
  <si>
    <t>101.04 =  13,09*2,45-(0,9*2,05+1,32*1,35)+2*0,35</t>
  </si>
  <si>
    <t>101.05 =  15,26*2,45-(0,9*2,05+1,3*1,36)</t>
  </si>
  <si>
    <t>101.06 =  18,9*2,45-(0,9*2,05*2+1,33*1,35+0,93*2,2)</t>
  </si>
  <si>
    <t>Montáž výztužné sítě (perlinky) do stěrky-vnit.stěny včetně výztužné sítě a stěrkového tmelu  (100% ploch stěn)</t>
  </si>
  <si>
    <t>101.01 = 10,22*2,45-(0,8*2,05*2+0,9*2,05*3)</t>
  </si>
  <si>
    <t>101.01</t>
  </si>
  <si>
    <t xml:space="preserve">101.04 </t>
  </si>
  <si>
    <t>101.05</t>
  </si>
  <si>
    <t xml:space="preserve">101.06 </t>
  </si>
  <si>
    <t>101.04 = 29,114-(0,35*2+0,62)*2+9,9</t>
  </si>
  <si>
    <t>101.05 = 33,774-0,86*2+14,5</t>
  </si>
  <si>
    <t>101.06 = 38,774-0,86*2+22,7</t>
  </si>
  <si>
    <t>101.01 = 7,24*2,35-(0,9*2,05*3) bez stropu</t>
  </si>
  <si>
    <t>101.02 = (1,425+0,525)*2,35-0,56*1,38 bez stropu</t>
  </si>
  <si>
    <t>101.03 = 4,01*2,35-(0,57*1,38) bez stropu</t>
  </si>
  <si>
    <t xml:space="preserve">101.02 </t>
  </si>
  <si>
    <t>101.03</t>
  </si>
  <si>
    <t>101.01 = (10,22-0,8*2-0,9*3)*0,08</t>
  </si>
  <si>
    <t>Keramický obklad dle specifikace v PD vč. prořezu 10%</t>
  </si>
  <si>
    <t>Al ukončovací lišta profilu L10mm, vč. prořezu 10%</t>
  </si>
  <si>
    <t>Montáž ukončovacích lišt,vnitř.ker.dlažba</t>
  </si>
  <si>
    <t>106.06 = 4,52*0,6</t>
  </si>
  <si>
    <t>101.03 = 0,57*2+1,38*2</t>
  </si>
  <si>
    <t>101.02 = 2,3*2+0,56*2+1,38</t>
  </si>
  <si>
    <t>101.06 = 0,6*2</t>
  </si>
  <si>
    <t>101.03 = 2,53*2,35</t>
  </si>
  <si>
    <t>Penetrace podkladu vnitřních stěn vč. materiálu</t>
  </si>
  <si>
    <t xml:space="preserve">Montáž SDK podhledu jednoduše opláštěného s MW na jednoúrovňový rošt s parotěsnou zábranou, vč dodávky nosných profilů </t>
  </si>
  <si>
    <t>Tmelení spár u obkladu, soklu a dlažby (svislé + vodorovné), tmelení návazností na zárubně, zařizovací předměty - silikonový tmel</t>
  </si>
  <si>
    <t>V01</t>
  </si>
  <si>
    <t>V02, V06</t>
  </si>
  <si>
    <t>V02</t>
  </si>
  <si>
    <t>V06</t>
  </si>
  <si>
    <t>V03</t>
  </si>
  <si>
    <t>V05</t>
  </si>
  <si>
    <t>V04</t>
  </si>
  <si>
    <t>Stavební úpravy bytové jednotky č.1, Na Šmukýřce 915/27 150 00 Praha 5</t>
  </si>
  <si>
    <t xml:space="preserve">a) náklady na veškerou svislou a vodorovnou dopravu na staveništi, náklady na dopravu materiálu na staveniště, </t>
  </si>
  <si>
    <t xml:space="preserve">staveništní přesun hmot a u bourání manipulaci se sutí, její odvoz a uložení na skládku do 20-ti km včetně poplatku, </t>
  </si>
  <si>
    <t xml:space="preserve">pokud nebudou tyto položky uvedeny dodavatelem v samostatné položce </t>
  </si>
  <si>
    <t xml:space="preserve">c)  všechny potřebné pomocné dodávky a práce pro upevnění, zabezpečení funkčnosti a finální pohledové 
úpravy, </t>
  </si>
  <si>
    <t>výslovně uvedeny jako samostatné položky</t>
  </si>
  <si>
    <t xml:space="preserve">které jsou běžně součástí dodávaného výrobku nebo systému  nebo jsou předepsány projektem a nejsou </t>
  </si>
  <si>
    <t xml:space="preserve">d) náklady na zakrývání (nebo jiné zajištění) konstrukcí a prací ostatních zhotovitelů nebo stávajících konstrukcí před </t>
  </si>
  <si>
    <t>znečištěním a poškozením a odstranění zakrytí</t>
  </si>
  <si>
    <t xml:space="preserve">Jednotková cena by měla vždy, pokud není samostatně uvedeno, obsahovat dodávku a montáž příslušné položky. </t>
  </si>
  <si>
    <t xml:space="preserve">Technické parametry materiálů a výrobků jsou uvedeny v PD. Zhotovitel při nacenění jednotlivých položek musí </t>
  </si>
  <si>
    <t xml:space="preserve">zohlednit tyto technické parametry.  </t>
  </si>
  <si>
    <t xml:space="preserve">U systémových řešení předpokládáme, že se dodavatel seznámí s typovou dokumentací výrobce a ve své ceně </t>
  </si>
  <si>
    <t xml:space="preserve">zohlední jak úplné řešení standardní, tak i všechny případné modifikace v průměrné ceně za běžnou jednotku, </t>
  </si>
  <si>
    <t>pokud nejsou v této specifikaci výslovně samostatně uvedeny.</t>
  </si>
  <si>
    <t xml:space="preserve">Některé výměry v této specifikaci jsou orientační (převážně jsou uvažovány na horní hranici možných dodávek a prací); </t>
  </si>
  <si>
    <t>je žádoucí, aby fakturovány byly pouze skutečně provedené práce.</t>
  </si>
  <si>
    <t xml:space="preserve">Nedílnou součástí tohoto výkazu je i projektová dokumentace. Pokud dle názoru dodavatele některé práce a dodávky </t>
  </si>
  <si>
    <t>ve výkazu výměr chybí, upozorní na tyto chybějící položky před uzavřením SOD".</t>
  </si>
  <si>
    <t xml:space="preserve">Uvedené referenční výrobky v PD a ve výkazu výměr nejsou pro zhotovitele závazné. Projektantem jsou uvedeny jako </t>
  </si>
  <si>
    <t xml:space="preserve">příklad vhodného produktu. Zhotovitel je oprávněn zvolit jiné, srovnatelné materiály, jež zabezpečí shodnou anebo </t>
  </si>
  <si>
    <t xml:space="preserve">vyšší technickou hodnotu díla. Nabízené materiály předloží objednateli ke schválení a dosažení požadovaných </t>
  </si>
  <si>
    <t>parametrů doloží hodnověrnými dokumenty (atesty, výsledky zkoušek, doklad o shodě apod.). Kde zhotovitel nabídne</t>
  </si>
  <si>
    <t xml:space="preserve">srovnatelný výrobek nebo materiál na místo označeného nebo specifikovaného, který byl přijat k začlenění do díla, </t>
  </si>
  <si>
    <t xml:space="preserve">pak se má zato, že sazby a ceny ve výkazu výměr zahrnují veškeré povinnosti a náklady spojené se začleněním </t>
  </si>
  <si>
    <t xml:space="preserve">srovnatelného výrobku do díla.  </t>
  </si>
  <si>
    <t xml:space="preserve">Není-li uvedeno jinak jsou položky uvažovány společně dodávka i montáž. Součástí nacenění budou všechny </t>
  </si>
  <si>
    <t xml:space="preserve">systémové doplňky, kotevní a upevňovací prostředky, tmelení spár a rohů a jiný pomocný materiál specifikovaný v </t>
  </si>
  <si>
    <t xml:space="preserve">technických a montážních předpisech vybraného výrobce. V ceně bude zakalkulováno pomocné lešení. </t>
  </si>
  <si>
    <t>Položky označené kódem jsou detailně popsány v tabulce skladeb konstrukcí a povrchových úprav a v tabulce PSV.</t>
  </si>
  <si>
    <t>Není-li uvedeno jinak jsou položky uvažovány společně dodávka i montáž. Položky označené kódem jsou detailně</t>
  </si>
  <si>
    <t>popsány v tabulce skladeb konstrukcí a povrchových úprav.</t>
  </si>
  <si>
    <t xml:space="preserve">Demontáže vnitřních kanalizačních rozvodů jsou popsány v kapitole Přípravné, bourací a sanační práce. Není-li uvedeno </t>
  </si>
  <si>
    <t xml:space="preserve">jinak jsou položky uvažovány jako dodávka. Montáž a kompletace jsou uvedeny jako souborné položky. </t>
  </si>
  <si>
    <t xml:space="preserve">Součástí nacenění budou všechny systémové doplňky, kotevní, upevňovací prostředky a jiný pomocný materiál </t>
  </si>
  <si>
    <t>specifikovaný v technických a montážních předpisech vybraného výrobce.</t>
  </si>
  <si>
    <t xml:space="preserve">Demontáže vnitřních plynovodních rozvodů jsou popsány v kapitole Přípravné, bourací a sanační práce. Není-li uvedeno </t>
  </si>
  <si>
    <t xml:space="preserve">Součástí nacenění montáže budou všechny systémové doplňky, kotevní, upevňovací prostředky a jiný pomocný materiál </t>
  </si>
  <si>
    <t>specifikovaný v technických a montážních předpisech vybraného výrobce a předpisu TPG 70401.</t>
  </si>
  <si>
    <t>Demontáže zařizovacích předmětů jsou popsány v kapitole Přípravné, bourací a sanační práce. Není-li uvedeno jinak</t>
  </si>
  <si>
    <t xml:space="preserve">jsou položky uvažovány jako dodávka. Montáž a kompletace jsou uvedeny jako souborné položky. </t>
  </si>
  <si>
    <t xml:space="preserve">Součástí nacenění budou všechny systémové doplňky, kotevní, upevňovací prostředky, montážní sady a jiný pomocný </t>
  </si>
  <si>
    <t xml:space="preserve">materiál specifikovaný v technických a montážních předpisech vybraného výrobce. Položky zařizovacích předmětů jsou </t>
  </si>
  <si>
    <t>detailně popsány v projektové dokumentaci.</t>
  </si>
  <si>
    <t xml:space="preserve">Kapitola silnoproudých elektroinstalačních prací vč. demontáží stávajících prvků je detailně rozepsána v samostatném </t>
  </si>
  <si>
    <t xml:space="preserve">listu, který je nedílnou součástí tohoto soupisu stavebních prací, výkonů a služeb. Níže jsou uvedeny pouze dílčí </t>
  </si>
  <si>
    <t>součtové položky jednotlivých kapitol členěné dle samostatného listu</t>
  </si>
  <si>
    <t>Kapitola slaboproudých elektroinstalačních prací vč. demontáží stávajících prvků je detailně rozepsána v samostatném</t>
  </si>
  <si>
    <t xml:space="preserve">Demontáže VZT zařízení jsou popsány v kapitole Přípravné, bourací a sanační práce. Není-li uvedeno jinak jsou </t>
  </si>
  <si>
    <t>položky uvažovány jako dodávka. Montáž a kompletace jsou uvedeny jako souborné položky. Součástí nacenění budou</t>
  </si>
  <si>
    <t xml:space="preserve">všechny systémové doplňky, kotevní, upevňovací prostředky a jiný pomocný materiál specifikovaný v technických a </t>
  </si>
  <si>
    <t xml:space="preserve">montážních předpisech vybraného výrobce. Položky vzduchotechnických výrobků jsou detailně popsány v projektové </t>
  </si>
  <si>
    <t>dokumentaci.</t>
  </si>
  <si>
    <t>Demontáže prvků stávajícho topení a zařízení jsou popsány v kapitole Přípravné, bourací a sanační práce. Kapitola</t>
  </si>
  <si>
    <t xml:space="preserve">topenářských prací vč. demontáží stávajících prvků. Není-li uvedeno jinak jsou položky uvažovány jako dodávka. </t>
  </si>
  <si>
    <t>Montáž a kompletace jsou uvedeny jako souborné položky. Součástí nacenění budou všechny systémové doplňky,</t>
  </si>
  <si>
    <t>kotevní, upevňovací prostředky a jiný pomocný materiál specifikovaný v technických a montážních předpisech</t>
  </si>
  <si>
    <t>vybraného výrobce. Položky topení jsou detailně popsány v projektové dokumentaci D14d. Veškeré výrobky a zařízení</t>
  </si>
  <si>
    <t xml:space="preserve">je možné nahradit výrobky a zařízeními jiných výrobců za předpokladu, že mají shodné technické parametry. </t>
  </si>
  <si>
    <t xml:space="preserve">Následující kompletizované výrobky jsou detailně popsány v technických parametrech výplní otvorů (popř. ve výpisu </t>
  </si>
  <si>
    <t xml:space="preserve">prvků PSV), dle kterých je nutno provést ocenění. Není-li uvedeno jinak jsou položky uvažovány společně dodávka i </t>
  </si>
  <si>
    <t xml:space="preserve">montáž. Součástí nacenění budou všechny systémové doplňky, kotevní a upevňovací prostředky a jiný pomocný </t>
  </si>
  <si>
    <t xml:space="preserve">materiál uvedený v technických parametrech výplní otvorů, souboru stavebních detailů a v technických a montážních </t>
  </si>
  <si>
    <t>předpisech vybraného výrobce.</t>
  </si>
  <si>
    <t xml:space="preserve">technických a montážních předpisech vybraného výrobce. Položky označené kódem jsou detailně popsány v tabulce </t>
  </si>
  <si>
    <t>skladeb konstrukcí a povrchových úprav.</t>
  </si>
  <si>
    <t xml:space="preserve">systémové doplňky, kotevní a upevňovací prostředky, úpravy spár a rohů a jiný pomocný materiál specifikovaný v </t>
  </si>
  <si>
    <t>technických a montážních předpisech vybraného výrobce. Položky označené kódem jsou detailně popsány v tabulce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</si>
</sst>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"/>
    <numFmt numFmtId="169" formatCode="0.0000"/>
    <numFmt numFmtId="170" formatCode="0.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&quot;Kč&quot;"/>
    <numFmt numFmtId="177" formatCode="#,##0.0\ &quot;Kč&quot;"/>
    <numFmt numFmtId="178" formatCode="[$¥€-2]\ #\ ##,000_);[Red]\([$€-2]\ #\ ##,000\)"/>
    <numFmt numFmtId="179" formatCode="#,##0\ _K_č"/>
    <numFmt numFmtId="180" formatCode="#,##0.00\ &quot;Kč&quot;"/>
    <numFmt numFmtId="181" formatCode="[$€-2]\ #,##0.00_);[Red]\([$€-2]\ #,##0.00\)"/>
    <numFmt numFmtId="182" formatCode="_(#,##0_);[Red]\-\ #,##0_);&quot;–&quot;??;_(@_)"/>
    <numFmt numFmtId="183" formatCode="_-* #,##0\ &quot;Kč&quot;_-;\-* #,##0\ &quot;Kč&quot;_-;_-* &quot;-&quot;??\ &quot;Kč&quot;_-;_-@_-"/>
    <numFmt numFmtId="184" formatCode="#,##0.000\ &quot;Kč&quot;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u val="single"/>
      <sz val="13"/>
      <color indexed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u val="single"/>
      <sz val="10"/>
      <color indexed="2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indexed="4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7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30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 CE"/>
      <family val="2"/>
    </font>
    <font>
      <sz val="7"/>
      <color indexed="8"/>
      <name val="Arial CE"/>
      <family val="2"/>
    </font>
    <font>
      <sz val="11"/>
      <color indexed="8"/>
      <name val="Arial CE"/>
      <family val="2"/>
    </font>
    <font>
      <sz val="8"/>
      <color indexed="1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7"/>
      <color rgb="FFFF0000"/>
      <name val="Arial CE"/>
      <family val="2"/>
    </font>
    <font>
      <sz val="11"/>
      <color rgb="FFFF0000"/>
      <name val="Arial CE"/>
      <family val="2"/>
    </font>
    <font>
      <i/>
      <sz val="10"/>
      <color rgb="FF0070C0"/>
      <name val="Arial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7"/>
      <color theme="1"/>
      <name val="Arial CE"/>
      <family val="2"/>
    </font>
    <font>
      <sz val="11"/>
      <color theme="1"/>
      <name val="Arial CE"/>
      <family val="2"/>
    </font>
    <font>
      <sz val="8"/>
      <color rgb="FFFF0000"/>
      <name val="Arial"/>
      <family val="2"/>
    </font>
    <font>
      <sz val="10"/>
      <color rgb="FF00B0F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11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9" fillId="0" borderId="9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66" applyNumberFormat="1" applyFont="1" applyFill="1" applyBorder="1" applyAlignment="1" applyProtection="1">
      <alignment horizontal="left" vertical="center"/>
      <protection/>
    </xf>
    <xf numFmtId="0" fontId="25" fillId="16" borderId="17" xfId="54" applyNumberFormat="1" applyFill="1" applyBorder="1" applyAlignment="1" applyProtection="1">
      <alignment horizontal="left" vertical="center"/>
      <protection/>
    </xf>
    <xf numFmtId="0" fontId="20" fillId="16" borderId="17" xfId="0" applyFont="1" applyFill="1" applyBorder="1" applyAlignment="1" applyProtection="1">
      <alignment/>
      <protection/>
    </xf>
    <xf numFmtId="176" fontId="20" fillId="0" borderId="17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83" fontId="1" fillId="0" borderId="0" xfId="57" applyNumberForma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0" fontId="0" fillId="0" borderId="0" xfId="66" applyNumberFormat="1" applyFont="1" applyFill="1" applyBorder="1" applyAlignment="1" applyProtection="1">
      <alignment horizontal="left" vertical="center" indent="1"/>
      <protection/>
    </xf>
    <xf numFmtId="0" fontId="0" fillId="0" borderId="0" xfId="66" applyNumberFormat="1" applyFont="1" applyFill="1" applyBorder="1" applyAlignment="1" applyProtection="1">
      <alignment horizontal="left" vertical="center" indent="1"/>
      <protection/>
    </xf>
    <xf numFmtId="0" fontId="0" fillId="0" borderId="0" xfId="66" applyFont="1" applyAlignment="1" applyProtection="1">
      <alignment horizontal="left" vertical="center" indent="1"/>
      <protection/>
    </xf>
    <xf numFmtId="0" fontId="25" fillId="16" borderId="17" xfId="54" applyFill="1" applyBorder="1" applyAlignment="1" applyProtection="1">
      <alignment horizontal="left" vertical="center"/>
      <protection/>
    </xf>
    <xf numFmtId="18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/>
      <protection/>
    </xf>
    <xf numFmtId="0" fontId="26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vertical="center"/>
      <protection/>
    </xf>
    <xf numFmtId="3" fontId="20" fillId="0" borderId="18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18" xfId="0" applyFont="1" applyBorder="1" applyAlignment="1" applyProtection="1">
      <alignment vertical="center"/>
      <protection/>
    </xf>
    <xf numFmtId="176" fontId="20" fillId="0" borderId="18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176" fontId="20" fillId="0" borderId="22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182" fontId="39" fillId="0" borderId="0" xfId="0" applyNumberFormat="1" applyFont="1" applyAlignment="1" applyProtection="1">
      <alignment/>
      <protection/>
    </xf>
    <xf numFmtId="183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/>
      <protection/>
    </xf>
    <xf numFmtId="0" fontId="30" fillId="0" borderId="0" xfId="66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17" borderId="25" xfId="54" applyNumberFormat="1" applyFill="1" applyBorder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" fillId="0" borderId="0" xfId="66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left" vertical="center" wrapText="1"/>
      <protection/>
    </xf>
    <xf numFmtId="3" fontId="1" fillId="0" borderId="17" xfId="0" applyNumberFormat="1" applyFont="1" applyFill="1" applyBorder="1" applyAlignment="1" applyProtection="1">
      <alignment horizontal="left" vertical="center"/>
      <protection/>
    </xf>
    <xf numFmtId="177" fontId="1" fillId="0" borderId="17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Fill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left" vertical="center" wrapText="1"/>
      <protection/>
    </xf>
    <xf numFmtId="0" fontId="51" fillId="0" borderId="0" xfId="0" applyFont="1" applyFill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7" fontId="55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66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1" fillId="0" borderId="17" xfId="0" applyNumberFormat="1" applyFont="1" applyBorder="1" applyAlignment="1" applyProtection="1">
      <alignment horizontal="left" vertical="center"/>
      <protection/>
    </xf>
    <xf numFmtId="170" fontId="0" fillId="0" borderId="0" xfId="0" applyNumberFormat="1" applyAlignment="1" applyProtection="1">
      <alignment/>
      <protection/>
    </xf>
    <xf numFmtId="177" fontId="1" fillId="0" borderId="17" xfId="0" applyNumberFormat="1" applyFont="1" applyBorder="1" applyAlignment="1" applyProtection="1">
      <alignment vertical="center"/>
      <protection/>
    </xf>
    <xf numFmtId="170" fontId="20" fillId="0" borderId="0" xfId="0" applyNumberFormat="1" applyFont="1" applyAlignment="1" applyProtection="1">
      <alignment/>
      <protection/>
    </xf>
    <xf numFmtId="0" fontId="31" fillId="6" borderId="26" xfId="66" applyFont="1" applyFill="1" applyBorder="1" applyAlignment="1" applyProtection="1">
      <alignment vertical="center" wrapText="1"/>
      <protection/>
    </xf>
    <xf numFmtId="0" fontId="1" fillId="6" borderId="27" xfId="66" applyFont="1" applyFill="1" applyBorder="1" applyProtection="1">
      <alignment/>
      <protection/>
    </xf>
    <xf numFmtId="177" fontId="1" fillId="6" borderId="22" xfId="0" applyNumberFormat="1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0" fontId="0" fillId="0" borderId="0" xfId="66" applyFont="1" applyFill="1" applyBorder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67" fontId="51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66" applyFont="1" applyFill="1" applyBorder="1" applyAlignment="1" applyProtection="1">
      <alignment vertical="center" wrapText="1"/>
      <protection/>
    </xf>
    <xf numFmtId="0" fontId="20" fillId="6" borderId="26" xfId="66" applyFont="1" applyFill="1" applyBorder="1" applyAlignment="1" applyProtection="1">
      <alignment vertical="center" wrapText="1"/>
      <protection/>
    </xf>
    <xf numFmtId="0" fontId="0" fillId="6" borderId="27" xfId="66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167" fontId="55" fillId="0" borderId="17" xfId="0" applyNumberFormat="1" applyFont="1" applyBorder="1" applyAlignment="1" applyProtection="1">
      <alignment horizontal="left" vertical="center"/>
      <protection/>
    </xf>
    <xf numFmtId="3" fontId="37" fillId="0" borderId="0" xfId="0" applyNumberFormat="1" applyFont="1" applyFill="1" applyBorder="1" applyAlignment="1" applyProtection="1">
      <alignment horizontal="center" vertical="center"/>
      <protection/>
    </xf>
    <xf numFmtId="3" fontId="37" fillId="0" borderId="17" xfId="0" applyNumberFormat="1" applyFont="1" applyFill="1" applyBorder="1" applyAlignment="1" applyProtection="1">
      <alignment horizontal="left" vertical="center" wrapText="1"/>
      <protection/>
    </xf>
    <xf numFmtId="3" fontId="37" fillId="0" borderId="17" xfId="0" applyNumberFormat="1" applyFont="1" applyFill="1" applyBorder="1" applyAlignment="1" applyProtection="1">
      <alignment horizontal="left" vertical="center"/>
      <protection/>
    </xf>
    <xf numFmtId="177" fontId="37" fillId="0" borderId="17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3" fontId="37" fillId="0" borderId="17" xfId="0" applyNumberFormat="1" applyFont="1" applyBorder="1" applyAlignment="1" applyProtection="1">
      <alignment horizontal="left" vertical="center" wrapText="1"/>
      <protection/>
    </xf>
    <xf numFmtId="3" fontId="37" fillId="0" borderId="17" xfId="0" applyNumberFormat="1" applyFont="1" applyBorder="1" applyAlignment="1" applyProtection="1">
      <alignment horizontal="left" vertical="center"/>
      <protection/>
    </xf>
    <xf numFmtId="177" fontId="37" fillId="0" borderId="17" xfId="0" applyNumberFormat="1" applyFont="1" applyBorder="1" applyAlignment="1" applyProtection="1">
      <alignment vertical="center"/>
      <protection/>
    </xf>
    <xf numFmtId="0" fontId="0" fillId="0" borderId="28" xfId="66" applyFont="1" applyFill="1" applyBorder="1" applyAlignment="1" applyProtection="1">
      <alignment vertical="center" wrapText="1"/>
      <protection/>
    </xf>
    <xf numFmtId="0" fontId="0" fillId="0" borderId="28" xfId="66" applyBorder="1" applyAlignment="1" applyProtection="1">
      <alignment vertical="center" wrapText="1"/>
      <protection/>
    </xf>
    <xf numFmtId="0" fontId="0" fillId="0" borderId="28" xfId="66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left" vertical="center"/>
      <protection/>
    </xf>
    <xf numFmtId="177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5" fillId="0" borderId="0" xfId="54" applyAlignment="1" applyProtection="1">
      <alignment/>
      <protection/>
    </xf>
    <xf numFmtId="3" fontId="37" fillId="0" borderId="0" xfId="0" applyNumberFormat="1" applyFont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167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4" fillId="0" borderId="29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" fontId="35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4" fontId="36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4" fontId="60" fillId="0" borderId="0" xfId="0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9" fontId="36" fillId="0" borderId="0" xfId="70" applyFont="1" applyAlignment="1" applyProtection="1">
      <alignment/>
      <protection/>
    </xf>
    <xf numFmtId="9" fontId="35" fillId="0" borderId="0" xfId="70" applyFont="1" applyAlignment="1" applyProtection="1">
      <alignment/>
      <protection/>
    </xf>
    <xf numFmtId="0" fontId="36" fillId="0" borderId="29" xfId="0" applyFont="1" applyBorder="1" applyAlignment="1" applyProtection="1">
      <alignment/>
      <protection/>
    </xf>
    <xf numFmtId="0" fontId="35" fillId="0" borderId="29" xfId="0" applyFont="1" applyBorder="1" applyAlignment="1" applyProtection="1">
      <alignment/>
      <protection/>
    </xf>
    <xf numFmtId="4" fontId="36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0" fillId="18" borderId="0" xfId="0" applyFont="1" applyFill="1" applyAlignment="1" applyProtection="1">
      <alignment vertical="center"/>
      <protection/>
    </xf>
    <xf numFmtId="177" fontId="0" fillId="0" borderId="0" xfId="0" applyNumberForma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 locked="0"/>
    </xf>
    <xf numFmtId="177" fontId="51" fillId="0" borderId="0" xfId="0" applyNumberFormat="1" applyFont="1" applyFill="1" applyAlignment="1" applyProtection="1">
      <alignment horizontal="center" vertical="center"/>
      <protection locked="0"/>
    </xf>
    <xf numFmtId="177" fontId="51" fillId="0" borderId="0" xfId="0" applyNumberFormat="1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170" fontId="19" fillId="0" borderId="9" xfId="0" applyNumberFormat="1" applyFont="1" applyBorder="1" applyAlignment="1" applyProtection="1">
      <alignment horizontal="right"/>
      <protection/>
    </xf>
    <xf numFmtId="170" fontId="0" fillId="0" borderId="12" xfId="0" applyNumberFormat="1" applyFont="1" applyBorder="1" applyAlignment="1" applyProtection="1">
      <alignment/>
      <protection/>
    </xf>
    <xf numFmtId="170" fontId="0" fillId="0" borderId="15" xfId="0" applyNumberFormat="1" applyFont="1" applyBorder="1" applyAlignment="1" applyProtection="1">
      <alignment/>
      <protection/>
    </xf>
    <xf numFmtId="170" fontId="20" fillId="0" borderId="17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27" fillId="0" borderId="18" xfId="0" applyNumberFormat="1" applyFont="1" applyBorder="1" applyAlignment="1" applyProtection="1">
      <alignment/>
      <protection/>
    </xf>
    <xf numFmtId="170" fontId="0" fillId="0" borderId="18" xfId="0" applyNumberFormat="1" applyFont="1" applyBorder="1" applyAlignment="1" applyProtection="1">
      <alignment/>
      <protection/>
    </xf>
    <xf numFmtId="170" fontId="0" fillId="0" borderId="19" xfId="0" applyNumberFormat="1" applyFont="1" applyBorder="1" applyAlignment="1" applyProtection="1">
      <alignment/>
      <protection/>
    </xf>
    <xf numFmtId="170" fontId="0" fillId="0" borderId="21" xfId="0" applyNumberFormat="1" applyFont="1" applyBorder="1" applyAlignment="1" applyProtection="1">
      <alignment/>
      <protection/>
    </xf>
    <xf numFmtId="170" fontId="0" fillId="0" borderId="23" xfId="0" applyNumberFormat="1" applyFont="1" applyBorder="1" applyAlignment="1" applyProtection="1">
      <alignment/>
      <protection/>
    </xf>
    <xf numFmtId="170" fontId="0" fillId="0" borderId="24" xfId="0" applyNumberFormat="1" applyFont="1" applyBorder="1" applyAlignment="1" applyProtection="1">
      <alignment/>
      <protection/>
    </xf>
    <xf numFmtId="170" fontId="29" fillId="0" borderId="0" xfId="0" applyNumberFormat="1" applyFont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 horizontal="left" vertical="top" wrapText="1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1" fillId="0" borderId="17" xfId="0" applyNumberFormat="1" applyFont="1" applyFill="1" applyBorder="1" applyAlignment="1" applyProtection="1">
      <alignment horizontal="right" vertical="center"/>
      <protection/>
    </xf>
    <xf numFmtId="170" fontId="1" fillId="0" borderId="17" xfId="0" applyNumberFormat="1" applyFont="1" applyBorder="1" applyAlignment="1" applyProtection="1">
      <alignment horizontal="right" vertical="center"/>
      <protection/>
    </xf>
    <xf numFmtId="170" fontId="1" fillId="6" borderId="27" xfId="0" applyNumberFormat="1" applyFont="1" applyFill="1" applyBorder="1" applyAlignment="1" applyProtection="1">
      <alignment/>
      <protection/>
    </xf>
    <xf numFmtId="170" fontId="0" fillId="6" borderId="27" xfId="0" applyNumberFormat="1" applyFont="1" applyFill="1" applyBorder="1" applyAlignment="1" applyProtection="1">
      <alignment/>
      <protection/>
    </xf>
    <xf numFmtId="170" fontId="37" fillId="0" borderId="17" xfId="0" applyNumberFormat="1" applyFont="1" applyFill="1" applyBorder="1" applyAlignment="1" applyProtection="1">
      <alignment horizontal="right" vertical="center"/>
      <protection/>
    </xf>
    <xf numFmtId="170" fontId="37" fillId="0" borderId="17" xfId="0" applyNumberFormat="1" applyFont="1" applyBorder="1" applyAlignment="1" applyProtection="1">
      <alignment horizontal="right" vertical="center"/>
      <protection/>
    </xf>
    <xf numFmtId="170" fontId="25" fillId="17" borderId="25" xfId="54" applyNumberFormat="1" applyFill="1" applyBorder="1" applyAlignment="1" applyProtection="1">
      <alignment vertical="center"/>
      <protection/>
    </xf>
    <xf numFmtId="170" fontId="0" fillId="6" borderId="27" xfId="0" applyNumberForma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 horizontal="right" vertical="center"/>
      <protection/>
    </xf>
    <xf numFmtId="0" fontId="56" fillId="18" borderId="0" xfId="0" applyFont="1" applyFill="1" applyAlignment="1" applyProtection="1">
      <alignment horizontal="center" vertical="center"/>
      <protection locked="0"/>
    </xf>
    <xf numFmtId="0" fontId="41" fillId="18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9" borderId="0" xfId="0" applyFill="1" applyAlignment="1" applyProtection="1">
      <alignment/>
      <protection/>
    </xf>
    <xf numFmtId="0" fontId="51" fillId="19" borderId="0" xfId="0" applyFont="1" applyFill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66" fontId="56" fillId="0" borderId="0" xfId="0" applyNumberFormat="1" applyFont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5" fillId="17" borderId="30" xfId="54" applyNumberFormat="1" applyFill="1" applyBorder="1" applyAlignment="1" applyProtection="1">
      <alignment vertical="center"/>
      <protection/>
    </xf>
    <xf numFmtId="0" fontId="25" fillId="17" borderId="25" xfId="54" applyFill="1" applyBorder="1" applyAlignment="1" applyProtection="1">
      <alignment vertical="center"/>
      <protection/>
    </xf>
    <xf numFmtId="167" fontId="0" fillId="0" borderId="0" xfId="0" applyNumberFormat="1" applyFill="1" applyBorder="1" applyAlignment="1" applyProtection="1">
      <alignment horizontal="left" vertical="top" wrapText="1"/>
      <protection/>
    </xf>
    <xf numFmtId="3" fontId="0" fillId="0" borderId="0" xfId="0" applyNumberForma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Font="1" applyFill="1" applyBorder="1" applyAlignment="1" applyProtection="1">
      <alignment horizontal="left" vertical="top"/>
      <protection/>
    </xf>
    <xf numFmtId="0" fontId="35" fillId="0" borderId="0" xfId="0" applyFont="1" applyAlignment="1" applyProtection="1">
      <alignment/>
      <protection locked="0"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horizontal="left" vertical="top"/>
      <protection/>
    </xf>
    <xf numFmtId="3" fontId="0" fillId="0" borderId="0" xfId="0" applyNumberFormat="1" applyAlignment="1" applyProtection="1">
      <alignment horizontal="left" vertical="center"/>
      <protection/>
    </xf>
    <xf numFmtId="167" fontId="0" fillId="0" borderId="0" xfId="0" applyNumberFormat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3" fontId="0" fillId="2" borderId="0" xfId="0" applyNumberFormat="1" applyFill="1" applyAlignment="1" applyProtection="1">
      <alignment horizontal="left" vertical="center"/>
      <protection/>
    </xf>
    <xf numFmtId="170" fontId="55" fillId="0" borderId="17" xfId="0" applyNumberFormat="1" applyFont="1" applyFill="1" applyBorder="1" applyAlignment="1" applyProtection="1">
      <alignment horizontal="left" vertical="center"/>
      <protection/>
    </xf>
    <xf numFmtId="0" fontId="22" fillId="0" borderId="33" xfId="0" applyFont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167" fontId="0" fillId="0" borderId="0" xfId="0" applyNumberFormat="1" applyFill="1" applyBorder="1" applyAlignment="1" applyProtection="1">
      <alignment vertical="top"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7" fontId="0" fillId="0" borderId="0" xfId="0" applyNumberFormat="1" applyFill="1" applyBorder="1" applyAlignment="1" applyProtection="1">
      <alignment horizontal="left" vertical="top"/>
      <protection/>
    </xf>
    <xf numFmtId="3" fontId="0" fillId="0" borderId="0" xfId="0" applyNumberFormat="1" applyFill="1" applyBorder="1" applyAlignment="1" applyProtection="1">
      <alignment horizontal="left" vertical="center"/>
      <protection/>
    </xf>
    <xf numFmtId="167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3" fontId="33" fillId="20" borderId="25" xfId="0" applyNumberFormat="1" applyFont="1" applyFill="1" applyBorder="1" applyAlignment="1" applyProtection="1">
      <alignment vertical="center"/>
      <protection/>
    </xf>
    <xf numFmtId="3" fontId="33" fillId="20" borderId="17" xfId="0" applyNumberFormat="1" applyFont="1" applyFill="1" applyBorder="1" applyAlignment="1" applyProtection="1">
      <alignment vertical="center"/>
      <protection/>
    </xf>
    <xf numFmtId="167" fontId="1" fillId="0" borderId="17" xfId="0" applyNumberFormat="1" applyFont="1" applyFill="1" applyBorder="1" applyAlignment="1" applyProtection="1">
      <alignment horizontal="right" vertical="center"/>
      <protection/>
    </xf>
    <xf numFmtId="170" fontId="33" fillId="0" borderId="17" xfId="0" applyNumberFormat="1" applyFont="1" applyFill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 applyProtection="1">
      <alignment/>
      <protection/>
    </xf>
    <xf numFmtId="176" fontId="27" fillId="0" borderId="27" xfId="0" applyNumberFormat="1" applyFont="1" applyBorder="1" applyAlignment="1" applyProtection="1">
      <alignment/>
      <protection/>
    </xf>
    <xf numFmtId="167" fontId="19" fillId="0" borderId="9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5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67" fontId="0" fillId="0" borderId="18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 horizontal="right"/>
      <protection locked="0"/>
    </xf>
    <xf numFmtId="166" fontId="1" fillId="21" borderId="18" xfId="0" applyNumberFormat="1" applyFont="1" applyFill="1" applyBorder="1" applyAlignment="1" applyProtection="1">
      <alignment vertical="center"/>
      <protection locked="0"/>
    </xf>
    <xf numFmtId="10" fontId="0" fillId="0" borderId="19" xfId="69" applyNumberFormat="1" applyFill="1" applyBorder="1" applyAlignment="1" applyProtection="1">
      <alignment vertical="center"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67" fontId="0" fillId="0" borderId="23" xfId="0" applyNumberFormat="1" applyFont="1" applyBorder="1" applyAlignment="1" applyProtection="1">
      <alignment/>
      <protection locked="0"/>
    </xf>
    <xf numFmtId="9" fontId="0" fillId="0" borderId="18" xfId="69" applyFill="1" applyBorder="1" applyAlignment="1" applyProtection="1">
      <alignment/>
      <protection locked="0"/>
    </xf>
    <xf numFmtId="167" fontId="0" fillId="0" borderId="24" xfId="0" applyNumberFormat="1" applyFont="1" applyBorder="1" applyAlignment="1" applyProtection="1">
      <alignment/>
      <protection locked="0"/>
    </xf>
    <xf numFmtId="170" fontId="0" fillId="0" borderId="24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9" fillId="0" borderId="0" xfId="0" applyNumberFormat="1" applyFont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3" fontId="33" fillId="20" borderId="2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5" fillId="17" borderId="25" xfId="54" applyNumberFormat="1" applyFill="1" applyBorder="1" applyAlignment="1" applyProtection="1">
      <alignment vertical="center"/>
      <protection locked="0"/>
    </xf>
    <xf numFmtId="177" fontId="1" fillId="21" borderId="17" xfId="0" applyNumberFormat="1" applyFont="1" applyFill="1" applyBorder="1" applyAlignment="1" applyProtection="1">
      <alignment vertical="center"/>
      <protection locked="0"/>
    </xf>
    <xf numFmtId="177" fontId="1" fillId="6" borderId="27" xfId="0" applyNumberFormat="1" applyFont="1" applyFill="1" applyBorder="1" applyAlignment="1" applyProtection="1">
      <alignment/>
      <protection locked="0"/>
    </xf>
    <xf numFmtId="166" fontId="1" fillId="21" borderId="17" xfId="0" applyNumberFormat="1" applyFont="1" applyFill="1" applyBorder="1" applyAlignment="1" applyProtection="1">
      <alignment vertical="center"/>
      <protection locked="0"/>
    </xf>
    <xf numFmtId="167" fontId="0" fillId="6" borderId="27" xfId="0" applyNumberFormat="1" applyFont="1" applyFill="1" applyBorder="1" applyAlignment="1" applyProtection="1">
      <alignment/>
      <protection locked="0"/>
    </xf>
    <xf numFmtId="3" fontId="33" fillId="20" borderId="17" xfId="0" applyNumberFormat="1" applyFont="1" applyFill="1" applyBorder="1" applyAlignment="1" applyProtection="1">
      <alignment vertical="center"/>
      <protection locked="0"/>
    </xf>
    <xf numFmtId="177" fontId="37" fillId="21" borderId="17" xfId="0" applyNumberFormat="1" applyFont="1" applyFill="1" applyBorder="1" applyAlignment="1" applyProtection="1">
      <alignment vertical="center"/>
      <protection locked="0"/>
    </xf>
    <xf numFmtId="166" fontId="1" fillId="21" borderId="0" xfId="0" applyNumberFormat="1" applyFont="1" applyFill="1" applyBorder="1" applyAlignment="1" applyProtection="1">
      <alignment vertical="center"/>
      <protection locked="0"/>
    </xf>
    <xf numFmtId="0" fontId="25" fillId="17" borderId="25" xfId="54" applyFill="1" applyBorder="1" applyAlignment="1" applyProtection="1">
      <alignment vertical="center"/>
      <protection locked="0"/>
    </xf>
    <xf numFmtId="9" fontId="0" fillId="21" borderId="17" xfId="69" applyFill="1" applyBorder="1" applyAlignment="1" applyProtection="1">
      <alignment vertical="center"/>
      <protection locked="0"/>
    </xf>
    <xf numFmtId="167" fontId="0" fillId="6" borderId="27" xfId="0" applyNumberFormat="1" applyFill="1" applyBorder="1" applyAlignment="1" applyProtection="1">
      <alignment/>
      <protection locked="0"/>
    </xf>
    <xf numFmtId="177" fontId="1" fillId="0" borderId="17" xfId="0" applyNumberFormat="1" applyFont="1" applyFill="1" applyBorder="1" applyAlignment="1" applyProtection="1">
      <alignment vertical="center"/>
      <protection locked="0"/>
    </xf>
    <xf numFmtId="0" fontId="25" fillId="17" borderId="30" xfId="54" applyNumberFormat="1" applyFill="1" applyBorder="1" applyAlignment="1" applyProtection="1">
      <alignment vertical="center"/>
      <protection locked="0"/>
    </xf>
    <xf numFmtId="166" fontId="1" fillId="21" borderId="0" xfId="0" applyNumberFormat="1" applyFont="1" applyFill="1" applyAlignment="1" applyProtection="1">
      <alignment vertical="center"/>
      <protection locked="0"/>
    </xf>
    <xf numFmtId="177" fontId="61" fillId="21" borderId="17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4" fontId="35" fillId="22" borderId="0" xfId="0" applyNumberFormat="1" applyFont="1" applyFill="1" applyAlignment="1" applyProtection="1">
      <alignment/>
      <protection locked="0"/>
    </xf>
    <xf numFmtId="2" fontId="19" fillId="22" borderId="0" xfId="0" applyNumberFormat="1" applyFont="1" applyFill="1" applyAlignment="1" applyProtection="1">
      <alignment/>
      <protection locked="0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_BRILSTAR" xfId="66"/>
    <cellStyle name="Followed Hyperlink" xfId="67"/>
    <cellStyle name="Poznámka" xfId="68"/>
    <cellStyle name="Percent" xfId="69"/>
    <cellStyle name="Procenta 2" xfId="70"/>
    <cellStyle name="Propojená buňka" xfId="71"/>
    <cellStyle name="Správně" xfId="72"/>
    <cellStyle name="Špatně" xfId="73"/>
    <cellStyle name="TableStyleLight1" xfId="74"/>
    <cellStyle name="TableStyleLight1 2" xfId="75"/>
    <cellStyle name="TableStyleLight1 3" xfId="76"/>
    <cellStyle name="TableStyleLight1 4" xfId="77"/>
    <cellStyle name="Text upozornění" xfId="78"/>
    <cellStyle name="Title" xfId="79"/>
    <cellStyle name="Total" xfId="80"/>
    <cellStyle name="Vstup" xfId="81"/>
    <cellStyle name="Výpočet" xfId="82"/>
    <cellStyle name="Výstup" xfId="83"/>
    <cellStyle name="Vysvětlující text" xfId="84"/>
    <cellStyle name="Warning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dxfs count="4"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mora-vdp-645gb3-d5129956.htm?kampan=adw2_bile-elektro_pla_all_bile-elektro-css_vestavne_c_9062895_1o5_MORVD001&amp;gclid=EAIaIQobChMIpc_ysJiP5QIVWOd3Ch3d4wJUEAYYBSABEgLruPD_BwE" TargetMode="External" /><Relationship Id="rId2" Type="http://schemas.openxmlformats.org/officeDocument/2006/relationships/hyperlink" Target="https://www.alza.cz/mora-vt-433-bx-d5129962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91"/>
  <sheetViews>
    <sheetView showGridLines="0" tabSelected="1" zoomScaleSheetLayoutView="55" workbookViewId="0" topLeftCell="A1">
      <selection activeCell="R104" sqref="R104"/>
    </sheetView>
  </sheetViews>
  <sheetFormatPr defaultColWidth="9.00390625" defaultRowHeight="12.75"/>
  <cols>
    <col min="1" max="1" width="4.375" style="1" customWidth="1"/>
    <col min="2" max="2" width="12.875" style="2" customWidth="1"/>
    <col min="3" max="3" width="54.625" style="9" customWidth="1"/>
    <col min="4" max="4" width="6.875" style="3" customWidth="1"/>
    <col min="5" max="5" width="10.625" style="84" bestFit="1" customWidth="1"/>
    <col min="6" max="6" width="12.625" style="235" customWidth="1"/>
    <col min="7" max="7" width="15.375" style="3" customWidth="1"/>
    <col min="8" max="8" width="14.125" style="125" customWidth="1"/>
    <col min="9" max="9" width="14.125" style="5" hidden="1" customWidth="1"/>
    <col min="10" max="10" width="14.125" style="36" hidden="1" customWidth="1"/>
    <col min="11" max="17" width="14.125" style="3" hidden="1" customWidth="1"/>
    <col min="18" max="18" width="14.125" style="189" customWidth="1"/>
    <col min="19" max="16384" width="9.125" style="3" customWidth="1"/>
  </cols>
  <sheetData>
    <row r="2" spans="3:18" ht="12.75">
      <c r="C2" s="154"/>
      <c r="E2" s="162" t="s">
        <v>2</v>
      </c>
      <c r="F2" s="234" t="s">
        <v>3</v>
      </c>
      <c r="G2" s="4" t="s">
        <v>4</v>
      </c>
      <c r="J2" s="6" t="s">
        <v>256</v>
      </c>
      <c r="K2" s="6" t="s">
        <v>257</v>
      </c>
      <c r="L2" s="6" t="s">
        <v>258</v>
      </c>
      <c r="R2" s="196" t="s">
        <v>426</v>
      </c>
    </row>
    <row r="3" spans="3:12" ht="12.75">
      <c r="C3" s="154"/>
      <c r="J3" s="7"/>
      <c r="K3" s="7"/>
      <c r="L3" s="8"/>
    </row>
    <row r="4" spans="10:12" ht="12.75">
      <c r="J4" s="7"/>
      <c r="K4" s="7"/>
      <c r="L4" s="8"/>
    </row>
    <row r="5" spans="3:12" ht="44.25" customHeight="1">
      <c r="C5" s="207" t="s">
        <v>476</v>
      </c>
      <c r="D5" s="208"/>
      <c r="E5" s="208"/>
      <c r="F5" s="236"/>
      <c r="G5" s="218"/>
      <c r="J5" s="7"/>
      <c r="K5" s="7"/>
      <c r="L5" s="8"/>
    </row>
    <row r="6" spans="3:12" ht="37.5" customHeight="1">
      <c r="C6" s="220" t="s">
        <v>224</v>
      </c>
      <c r="D6" s="221"/>
      <c r="E6" s="221"/>
      <c r="F6" s="237"/>
      <c r="G6" s="219"/>
      <c r="J6" s="7"/>
      <c r="K6" s="7"/>
      <c r="L6" s="8"/>
    </row>
    <row r="7" spans="3:12" ht="12.75">
      <c r="C7" s="10"/>
      <c r="D7" s="11"/>
      <c r="E7" s="163"/>
      <c r="F7" s="238"/>
      <c r="G7" s="12"/>
      <c r="J7" s="7"/>
      <c r="K7" s="7"/>
      <c r="L7" s="8"/>
    </row>
    <row r="8" spans="3:12" ht="23.25">
      <c r="C8" s="13" t="s">
        <v>5</v>
      </c>
      <c r="D8" s="14"/>
      <c r="E8" s="164"/>
      <c r="F8" s="239"/>
      <c r="G8" s="15"/>
      <c r="J8" s="7"/>
      <c r="K8" s="7"/>
      <c r="L8" s="8"/>
    </row>
    <row r="9" spans="10:12" ht="12.75">
      <c r="J9" s="7"/>
      <c r="K9" s="7"/>
      <c r="L9" s="8"/>
    </row>
    <row r="10" spans="10:12" ht="12.75">
      <c r="J10" s="16"/>
      <c r="K10" s="16"/>
      <c r="L10" s="8"/>
    </row>
    <row r="11" spans="1:18" s="16" customFormat="1" ht="16.5">
      <c r="A11" s="17"/>
      <c r="B11" s="18">
        <v>1</v>
      </c>
      <c r="C11" s="19" t="str">
        <f>Kapitola_1</f>
        <v>Přípravné a bourací práce</v>
      </c>
      <c r="D11" s="20"/>
      <c r="E11" s="165"/>
      <c r="F11" s="240"/>
      <c r="G11" s="21">
        <f>+Cena_1</f>
        <v>0</v>
      </c>
      <c r="H11" s="126"/>
      <c r="I11" s="22"/>
      <c r="J11" s="23">
        <f>SUMIF(H$97:H$132,"O",G$97:G$132)</f>
        <v>0</v>
      </c>
      <c r="K11" s="23">
        <f>SUMIF(H$97:H$132,"i",G$97:G$132)</f>
        <v>0</v>
      </c>
      <c r="L11" s="24">
        <f>SUM(J11:K11)</f>
        <v>0</v>
      </c>
      <c r="R11" s="197"/>
    </row>
    <row r="12" spans="1:18" s="16" customFormat="1" ht="16.5">
      <c r="A12" s="17"/>
      <c r="B12" s="18">
        <v>2</v>
      </c>
      <c r="C12" s="19" t="str">
        <f>Kapitola_2</f>
        <v>Stavební úpravy bytové jednotky</v>
      </c>
      <c r="D12" s="20"/>
      <c r="E12" s="165"/>
      <c r="F12" s="240"/>
      <c r="G12" s="21">
        <f>SUM(F13:F27)</f>
        <v>0</v>
      </c>
      <c r="H12" s="126"/>
      <c r="I12" s="22"/>
      <c r="R12" s="197"/>
    </row>
    <row r="13" spans="1:18" s="16" customFormat="1" ht="16.5">
      <c r="A13" s="17"/>
      <c r="B13" s="25" t="s">
        <v>35</v>
      </c>
      <c r="C13" s="19" t="str">
        <f>Kapitola_2a</f>
        <v>Stěny a příčky</v>
      </c>
      <c r="D13" s="20"/>
      <c r="E13" s="165"/>
      <c r="F13" s="240">
        <f>+Cena_2a</f>
        <v>0</v>
      </c>
      <c r="G13" s="21"/>
      <c r="H13" s="126"/>
      <c r="I13" s="22"/>
      <c r="J13" s="23">
        <f>SUMIF(H$137:H$146,"O",G$137:G$146)</f>
        <v>0</v>
      </c>
      <c r="K13" s="23">
        <f>SUMIF(H$137:H$146,"i",G$137:G$146)</f>
        <v>0</v>
      </c>
      <c r="L13" s="24">
        <f aca="true" t="shared" si="0" ref="L13:L28">SUM(J13:K13)</f>
        <v>0</v>
      </c>
      <c r="R13" s="197"/>
    </row>
    <row r="14" spans="1:18" s="16" customFormat="1" ht="16.5">
      <c r="A14" s="17"/>
      <c r="B14" s="25" t="s">
        <v>36</v>
      </c>
      <c r="C14" s="19" t="str">
        <f>Kapitola_2b</f>
        <v>Stropy a stropní konstrukce</v>
      </c>
      <c r="D14" s="20"/>
      <c r="E14" s="165"/>
      <c r="F14" s="240">
        <f>+Cena_2b</f>
        <v>0</v>
      </c>
      <c r="G14" s="21"/>
      <c r="H14" s="126"/>
      <c r="I14" s="22"/>
      <c r="J14" s="23">
        <f>SUMIF(H$154:H$164,"O",G$154:G$164)</f>
        <v>0</v>
      </c>
      <c r="K14" s="23">
        <f>SUMIF(H$154:H$164,"i",G$154:G$164)</f>
        <v>0</v>
      </c>
      <c r="L14" s="24">
        <f t="shared" si="0"/>
        <v>0</v>
      </c>
      <c r="R14" s="197"/>
    </row>
    <row r="15" spans="1:18" s="16" customFormat="1" ht="16.5">
      <c r="A15" s="17"/>
      <c r="B15" s="25" t="s">
        <v>37</v>
      </c>
      <c r="C15" s="19" t="str">
        <f>Kapitola_2c</f>
        <v>Úpravy povrchů vnitřní (stěny, stropy)</v>
      </c>
      <c r="D15" s="20"/>
      <c r="E15" s="165"/>
      <c r="F15" s="240">
        <f>+Cena_2c</f>
        <v>0</v>
      </c>
      <c r="G15" s="21"/>
      <c r="H15" s="126"/>
      <c r="I15" s="22"/>
      <c r="J15" s="23">
        <f>SUMIF(H$170:H$218,"O",G$170:G$218)</f>
        <v>0</v>
      </c>
      <c r="K15" s="23">
        <f>SUMIF(H$170:H$218,"i",G$170:G$218)</f>
        <v>0</v>
      </c>
      <c r="L15" s="24">
        <f t="shared" si="0"/>
        <v>0</v>
      </c>
      <c r="R15" s="197"/>
    </row>
    <row r="16" spans="1:18" s="16" customFormat="1" ht="16.5">
      <c r="A16" s="17"/>
      <c r="B16" s="25" t="s">
        <v>38</v>
      </c>
      <c r="C16" s="19" t="str">
        <f>Kapitola_2d</f>
        <v>Zdravotechnika - vnitřní kanalizace</v>
      </c>
      <c r="D16" s="20"/>
      <c r="E16" s="165"/>
      <c r="F16" s="240">
        <f>+Cena_2d</f>
        <v>0</v>
      </c>
      <c r="G16" s="21"/>
      <c r="H16" s="126"/>
      <c r="I16" s="22"/>
      <c r="J16" s="23">
        <f>SUMIF(H$226:H$241,"O",G$226:G$241)</f>
        <v>0</v>
      </c>
      <c r="K16" s="23">
        <f>SUMIF(H$226:H$241,"i",G$226:G$241)</f>
        <v>0</v>
      </c>
      <c r="L16" s="24">
        <f t="shared" si="0"/>
        <v>0</v>
      </c>
      <c r="R16" s="197"/>
    </row>
    <row r="17" spans="1:18" s="16" customFormat="1" ht="16.5">
      <c r="A17" s="17"/>
      <c r="B17" s="25" t="s">
        <v>39</v>
      </c>
      <c r="C17" s="19" t="str">
        <f>Kapitola_2e</f>
        <v>Zdravotechnika - vnitřní vodovod</v>
      </c>
      <c r="D17" s="20"/>
      <c r="E17" s="165"/>
      <c r="F17" s="240">
        <f>+Cena_2e</f>
        <v>0</v>
      </c>
      <c r="G17" s="21"/>
      <c r="H17" s="126"/>
      <c r="I17" s="22"/>
      <c r="J17" s="23">
        <f>SUMIF(H$249:H$262,"O",G$249:G$262)</f>
        <v>0</v>
      </c>
      <c r="K17" s="23">
        <f>SUMIF(H$249:H$262,"i",G$249:G$262)</f>
        <v>0</v>
      </c>
      <c r="L17" s="24">
        <f t="shared" si="0"/>
        <v>0</v>
      </c>
      <c r="R17" s="197"/>
    </row>
    <row r="18" spans="1:18" s="16" customFormat="1" ht="16.5">
      <c r="A18" s="17"/>
      <c r="B18" s="25" t="s">
        <v>40</v>
      </c>
      <c r="C18" s="19" t="str">
        <f>+C265</f>
        <v>Plynovod</v>
      </c>
      <c r="D18" s="20"/>
      <c r="E18" s="165"/>
      <c r="F18" s="240">
        <f>+G294</f>
        <v>0</v>
      </c>
      <c r="G18" s="21"/>
      <c r="H18" s="126"/>
      <c r="I18" s="22"/>
      <c r="J18" s="23">
        <f>SUMIF(H$270:H$293,"O",G$270:G$293)</f>
        <v>0</v>
      </c>
      <c r="K18" s="23">
        <f>SUMIF(H$270:H$293,"i",G$270:G$293)</f>
        <v>0</v>
      </c>
      <c r="L18" s="24">
        <f>SUM(J18:K18)</f>
        <v>0</v>
      </c>
      <c r="R18" s="197"/>
    </row>
    <row r="19" spans="1:18" s="16" customFormat="1" ht="16.5">
      <c r="A19" s="17"/>
      <c r="B19" s="25" t="s">
        <v>41</v>
      </c>
      <c r="C19" s="19" t="str">
        <f>Kapitola_2f</f>
        <v>Zdravotechnika - zařizovací předměty, armatury </v>
      </c>
      <c r="D19" s="20"/>
      <c r="E19" s="165"/>
      <c r="F19" s="240">
        <f>+Cena_2f</f>
        <v>0</v>
      </c>
      <c r="G19" s="21"/>
      <c r="H19" s="126"/>
      <c r="I19" s="22"/>
      <c r="J19" s="23">
        <f>SUMIF(H$302:H$329,"O",G$302:G$329)</f>
        <v>0</v>
      </c>
      <c r="K19" s="23">
        <f>SUMIF(H$303:H$329,"i",G$303:G$329)</f>
        <v>0</v>
      </c>
      <c r="L19" s="24">
        <f>SUM(J19:K19)</f>
        <v>0</v>
      </c>
      <c r="R19" s="197"/>
    </row>
    <row r="20" spans="1:18" s="16" customFormat="1" ht="16.5">
      <c r="A20" s="17"/>
      <c r="B20" s="25" t="s">
        <v>49</v>
      </c>
      <c r="C20" s="19" t="str">
        <f>Kapitola_2g</f>
        <v>Elektroinstalace - silnoproud </v>
      </c>
      <c r="D20" s="20"/>
      <c r="E20" s="165"/>
      <c r="F20" s="240">
        <f>+Cena_2g</f>
        <v>0</v>
      </c>
      <c r="G20" s="21"/>
      <c r="H20" s="126"/>
      <c r="I20" s="22"/>
      <c r="J20" s="23">
        <f>SUMIF(H$336:H$338,"O",G$336:G$338)</f>
        <v>0</v>
      </c>
      <c r="K20" s="23">
        <f>SUMIF(H$336:H$338,"i",G$336:G$338)</f>
        <v>0</v>
      </c>
      <c r="L20" s="24">
        <f t="shared" si="0"/>
        <v>0</v>
      </c>
      <c r="R20" s="197"/>
    </row>
    <row r="21" spans="1:18" s="16" customFormat="1" ht="16.5">
      <c r="A21" s="17"/>
      <c r="B21" s="25" t="s">
        <v>92</v>
      </c>
      <c r="C21" s="19" t="str">
        <f>Kapitola_2h</f>
        <v>Elektroinstalace - slaboproud</v>
      </c>
      <c r="D21" s="20"/>
      <c r="E21" s="165"/>
      <c r="F21" s="240">
        <f>+Cena_2h</f>
        <v>0</v>
      </c>
      <c r="G21" s="21"/>
      <c r="H21" s="126"/>
      <c r="I21" s="22"/>
      <c r="J21" s="23">
        <f>SUMIF(H$345:H$346,"O",G$345:G$346)</f>
        <v>0</v>
      </c>
      <c r="K21" s="23">
        <f>SUMIF(H$345:H$346,"i",G$345:G$346)</f>
        <v>0</v>
      </c>
      <c r="L21" s="24">
        <f t="shared" si="0"/>
        <v>0</v>
      </c>
      <c r="R21" s="197"/>
    </row>
    <row r="22" spans="1:18" s="16" customFormat="1" ht="16.5">
      <c r="A22" s="17"/>
      <c r="B22" s="26" t="s">
        <v>93</v>
      </c>
      <c r="C22" s="19" t="str">
        <f>Kapitola_2i</f>
        <v>Vzduchotechnika</v>
      </c>
      <c r="D22" s="20"/>
      <c r="E22" s="165"/>
      <c r="F22" s="240">
        <f>+Cena_2i</f>
        <v>0</v>
      </c>
      <c r="G22" s="21"/>
      <c r="H22" s="126"/>
      <c r="I22" s="22"/>
      <c r="J22" s="23">
        <f>SUMIF(H$356:H$371,"O",G$356:G$371)</f>
        <v>0</v>
      </c>
      <c r="K22" s="23">
        <f>SUMIF(H$355:H$371,"i",G$355:G$371)</f>
        <v>0</v>
      </c>
      <c r="L22" s="24">
        <f t="shared" si="0"/>
        <v>0</v>
      </c>
      <c r="R22" s="197"/>
    </row>
    <row r="23" spans="2:18" s="16" customFormat="1" ht="16.5">
      <c r="B23" s="27" t="s">
        <v>94</v>
      </c>
      <c r="C23" s="28" t="str">
        <f>+C374</f>
        <v>Etážové topení</v>
      </c>
      <c r="D23" s="20"/>
      <c r="E23" s="165"/>
      <c r="F23" s="240">
        <f>+G400</f>
        <v>0</v>
      </c>
      <c r="G23" s="21"/>
      <c r="H23" s="126"/>
      <c r="I23" s="22"/>
      <c r="J23" s="23">
        <f>SUMIF(H$381:H$399,"O",G$381:G$399)</f>
        <v>0</v>
      </c>
      <c r="K23" s="23">
        <f>SUMIF(H$381:H$399,"i",G$381:G$399)</f>
        <v>0</v>
      </c>
      <c r="L23" s="24">
        <f>SUM(J23:K23)</f>
        <v>0</v>
      </c>
      <c r="R23" s="197"/>
    </row>
    <row r="24" spans="1:18" s="16" customFormat="1" ht="16.5">
      <c r="A24" s="17"/>
      <c r="B24" s="26" t="s">
        <v>95</v>
      </c>
      <c r="C24" s="19" t="str">
        <f>Kapitola_2j</f>
        <v>Konstrukce truhlářské</v>
      </c>
      <c r="D24" s="20"/>
      <c r="E24" s="165"/>
      <c r="F24" s="240">
        <f>+Cena_2j</f>
        <v>0</v>
      </c>
      <c r="G24" s="21"/>
      <c r="H24" s="126"/>
      <c r="I24" s="22"/>
      <c r="J24" s="23">
        <f>SUMIF(H$408:H$420,"O",G$408:G$420)</f>
        <v>0</v>
      </c>
      <c r="K24" s="23">
        <f>SUMIF(H$408:H$420,"i",G$408:G$420)</f>
        <v>0</v>
      </c>
      <c r="L24" s="24">
        <f t="shared" si="0"/>
        <v>0</v>
      </c>
      <c r="R24" s="197"/>
    </row>
    <row r="25" spans="1:18" s="16" customFormat="1" ht="16.5">
      <c r="A25" s="17"/>
      <c r="B25" s="26" t="s">
        <v>96</v>
      </c>
      <c r="C25" s="19" t="str">
        <f>Kapitola_2k</f>
        <v>Konstrukce zámečnické</v>
      </c>
      <c r="D25" s="20"/>
      <c r="E25" s="165"/>
      <c r="F25" s="240">
        <f>+Cena_2k</f>
        <v>0</v>
      </c>
      <c r="G25" s="21"/>
      <c r="H25" s="126"/>
      <c r="I25" s="22"/>
      <c r="J25" s="23">
        <f>SUMIF(H$429:H$433,"O",G$429:G$433)</f>
        <v>0</v>
      </c>
      <c r="K25" s="23">
        <f>SUMIF(H$429:H$433,"i",G$429:G$433)</f>
        <v>0</v>
      </c>
      <c r="L25" s="24">
        <f t="shared" si="0"/>
        <v>0</v>
      </c>
      <c r="R25" s="197"/>
    </row>
    <row r="26" spans="1:18" s="16" customFormat="1" ht="16.5">
      <c r="A26" s="17"/>
      <c r="B26" s="26" t="s">
        <v>187</v>
      </c>
      <c r="C26" s="19" t="str">
        <f>Kapitola_2l</f>
        <v>Podlahy z dlaždic</v>
      </c>
      <c r="D26" s="20"/>
      <c r="E26" s="165"/>
      <c r="F26" s="240">
        <f>+Cena_2l</f>
        <v>0</v>
      </c>
      <c r="G26" s="21"/>
      <c r="H26" s="126"/>
      <c r="I26" s="22"/>
      <c r="J26" s="23">
        <f>SUMIF(H$441:H$459,"O",G$441:G$459)</f>
        <v>0</v>
      </c>
      <c r="K26" s="23">
        <f>SUMIF(H$441:H$459,"i",G$441:G$459)</f>
        <v>0</v>
      </c>
      <c r="L26" s="24">
        <f t="shared" si="0"/>
        <v>0</v>
      </c>
      <c r="R26" s="197"/>
    </row>
    <row r="27" spans="1:18" s="16" customFormat="1" ht="16.5">
      <c r="A27" s="17"/>
      <c r="B27" s="26" t="s">
        <v>289</v>
      </c>
      <c r="C27" s="19" t="str">
        <f>Kapitola_2m</f>
        <v>Podlahy dřevěné a povlakové</v>
      </c>
      <c r="D27" s="20"/>
      <c r="E27" s="165"/>
      <c r="F27" s="240">
        <f>+Cena_2m</f>
        <v>0</v>
      </c>
      <c r="G27" s="21"/>
      <c r="H27" s="126"/>
      <c r="I27" s="22"/>
      <c r="J27" s="23">
        <f>SUMIF(H$467:H$483,"O",G$467:G$483)</f>
        <v>0</v>
      </c>
      <c r="K27" s="23">
        <f>SUMIF(H$467:H$483,"i",G$467:G$483)</f>
        <v>0</v>
      </c>
      <c r="L27" s="24">
        <f t="shared" si="0"/>
        <v>0</v>
      </c>
      <c r="R27" s="197"/>
    </row>
    <row r="28" spans="1:18" s="16" customFormat="1" ht="16.5">
      <c r="A28" s="17"/>
      <c r="B28" s="18">
        <v>3</v>
      </c>
      <c r="C28" s="19" t="str">
        <f>Dokoncovaci_prace</f>
        <v>Dokončovací práce</v>
      </c>
      <c r="D28" s="20"/>
      <c r="E28" s="165"/>
      <c r="F28" s="240"/>
      <c r="G28" s="21">
        <f>Cena_dokoncovaci_prace</f>
        <v>0</v>
      </c>
      <c r="H28" s="126"/>
      <c r="I28" s="22"/>
      <c r="J28" s="23">
        <f>SUMIF(H$487:H$489,"O",G$487:G$489)</f>
        <v>0</v>
      </c>
      <c r="K28" s="23">
        <f>SUMIF(H$487:H$488,"i",G$487:G$488)</f>
        <v>0</v>
      </c>
      <c r="L28" s="24">
        <f t="shared" si="0"/>
        <v>0</v>
      </c>
      <c r="R28" s="197"/>
    </row>
    <row r="29" spans="3:12" ht="12.75">
      <c r="C29" s="30"/>
      <c r="D29" s="1"/>
      <c r="E29" s="166"/>
      <c r="F29" s="241"/>
      <c r="G29" s="31"/>
      <c r="J29" s="7"/>
      <c r="K29" s="7"/>
      <c r="L29" s="7"/>
    </row>
    <row r="30" spans="3:12" ht="15" customHeight="1">
      <c r="C30" s="32" t="s">
        <v>6</v>
      </c>
      <c r="D30" s="33"/>
      <c r="E30" s="167"/>
      <c r="F30" s="242"/>
      <c r="G30" s="232">
        <f>SUM(G11:G28)</f>
        <v>0</v>
      </c>
      <c r="H30" s="126"/>
      <c r="J30" s="29">
        <f>SUM(J11:J29)</f>
        <v>0</v>
      </c>
      <c r="K30" s="29">
        <f>SUM(K11:K29)</f>
        <v>0</v>
      </c>
      <c r="L30" s="29">
        <f>SUM(J30:K30)</f>
        <v>0</v>
      </c>
    </row>
    <row r="31" spans="3:12" ht="12.75">
      <c r="C31" s="34"/>
      <c r="D31" s="33"/>
      <c r="E31" s="168"/>
      <c r="F31" s="242"/>
      <c r="G31" s="35"/>
      <c r="L31" s="194"/>
    </row>
    <row r="32" spans="3:12" ht="12.75">
      <c r="C32" s="37" t="s">
        <v>7</v>
      </c>
      <c r="D32" s="33"/>
      <c r="E32" s="168"/>
      <c r="F32" s="243"/>
      <c r="G32" s="38">
        <f>+G33+G34</f>
        <v>0</v>
      </c>
      <c r="L32" s="194">
        <f>SUM(L11:L28)</f>
        <v>0</v>
      </c>
    </row>
    <row r="33" spans="3:7" ht="12.75">
      <c r="C33" s="34" t="s">
        <v>8</v>
      </c>
      <c r="D33" s="33"/>
      <c r="E33" s="168"/>
      <c r="F33" s="244"/>
      <c r="G33" s="39">
        <f>ROUND($G$30*F33,0)</f>
        <v>0</v>
      </c>
    </row>
    <row r="34" spans="3:7" ht="12.75">
      <c r="C34" s="34" t="s">
        <v>166</v>
      </c>
      <c r="D34" s="33"/>
      <c r="E34" s="168"/>
      <c r="F34" s="244"/>
      <c r="G34" s="39">
        <f>ROUND($G$30*F34,0)</f>
        <v>0</v>
      </c>
    </row>
    <row r="35" spans="3:7" ht="13.5" thickBot="1">
      <c r="C35" s="40"/>
      <c r="D35" s="41"/>
      <c r="E35" s="169"/>
      <c r="F35" s="245"/>
      <c r="G35" s="31"/>
    </row>
    <row r="36" spans="3:7" ht="15.75" thickBot="1">
      <c r="C36" s="42" t="s">
        <v>181</v>
      </c>
      <c r="D36" s="43"/>
      <c r="E36" s="170"/>
      <c r="F36" s="246"/>
      <c r="G36" s="44">
        <f>+G30+G32</f>
        <v>0</v>
      </c>
    </row>
    <row r="37" spans="3:8" ht="12.75">
      <c r="C37" s="45"/>
      <c r="D37" s="46"/>
      <c r="E37" s="171"/>
      <c r="F37" s="247"/>
      <c r="G37" s="46"/>
      <c r="H37" s="127"/>
    </row>
    <row r="38" spans="3:8" ht="12.75">
      <c r="C38" s="34" t="s">
        <v>9</v>
      </c>
      <c r="D38" s="33"/>
      <c r="E38" s="168"/>
      <c r="F38" s="248">
        <v>0.15</v>
      </c>
      <c r="G38" s="39">
        <f>ROUND((G30+G33+G34)*F38,0)</f>
        <v>0</v>
      </c>
      <c r="H38" s="127"/>
    </row>
    <row r="39" spans="3:7" ht="12.75">
      <c r="C39" s="34" t="s">
        <v>9</v>
      </c>
      <c r="D39" s="33"/>
      <c r="E39" s="168"/>
      <c r="F39" s="248">
        <v>0.21</v>
      </c>
      <c r="G39" s="39">
        <v>0</v>
      </c>
    </row>
    <row r="40" spans="3:7" ht="13.5" thickBot="1">
      <c r="C40" s="47"/>
      <c r="D40" s="48"/>
      <c r="E40" s="172"/>
      <c r="F40" s="249"/>
      <c r="G40" s="48"/>
    </row>
    <row r="41" spans="3:7" ht="16.5" thickBot="1">
      <c r="C41" s="49" t="s">
        <v>10</v>
      </c>
      <c r="D41" s="48"/>
      <c r="E41" s="172"/>
      <c r="F41" s="250"/>
      <c r="G41" s="233">
        <f>G30+G33+G34+G38+G39</f>
        <v>0</v>
      </c>
    </row>
    <row r="44" spans="3:7" ht="15">
      <c r="C44" s="50" t="s">
        <v>175</v>
      </c>
      <c r="D44" s="51"/>
      <c r="E44" s="89"/>
      <c r="F44" s="131"/>
      <c r="G44" s="51"/>
    </row>
    <row r="45" spans="3:8" ht="12.75">
      <c r="C45" s="52" t="s">
        <v>176</v>
      </c>
      <c r="D45" s="53"/>
      <c r="E45" s="89"/>
      <c r="F45" s="131"/>
      <c r="G45" s="54">
        <f>+J30</f>
        <v>0</v>
      </c>
      <c r="H45" s="195" t="e">
        <f>+G45/G30</f>
        <v>#DIV/0!</v>
      </c>
    </row>
    <row r="46" spans="3:8" ht="12.75">
      <c r="C46" s="52" t="s">
        <v>177</v>
      </c>
      <c r="D46" s="53"/>
      <c r="E46" s="89"/>
      <c r="F46" s="131"/>
      <c r="G46" s="54">
        <f>+K30</f>
        <v>0</v>
      </c>
      <c r="H46" s="195" t="e">
        <f>+G46/G30</f>
        <v>#DIV/0!</v>
      </c>
    </row>
    <row r="47" spans="3:7" ht="12.75">
      <c r="C47" s="51"/>
      <c r="D47" s="51"/>
      <c r="E47" s="89"/>
      <c r="F47" s="131"/>
      <c r="G47" s="8"/>
    </row>
    <row r="48" spans="3:7" ht="15">
      <c r="C48" s="50" t="s">
        <v>178</v>
      </c>
      <c r="D48" s="51"/>
      <c r="E48" s="89"/>
      <c r="F48" s="131"/>
      <c r="G48" s="8"/>
    </row>
    <row r="49" spans="3:7" ht="12.75">
      <c r="C49" s="52" t="s">
        <v>176</v>
      </c>
      <c r="D49" s="53"/>
      <c r="E49" s="89"/>
      <c r="F49" s="131"/>
      <c r="G49" s="55" t="e">
        <f>+H45*G32</f>
        <v>#DIV/0!</v>
      </c>
    </row>
    <row r="50" spans="3:7" ht="12.75">
      <c r="C50" s="52" t="s">
        <v>177</v>
      </c>
      <c r="D50" s="53"/>
      <c r="E50" s="89"/>
      <c r="F50" s="131"/>
      <c r="G50" s="55" t="e">
        <f>+H46*G32</f>
        <v>#DIV/0!</v>
      </c>
    </row>
    <row r="51" spans="3:7" ht="12.75">
      <c r="C51" s="51"/>
      <c r="D51" s="51"/>
      <c r="E51" s="89"/>
      <c r="F51" s="131"/>
      <c r="G51" s="8"/>
    </row>
    <row r="52" spans="3:7" ht="15">
      <c r="C52" s="50" t="s">
        <v>179</v>
      </c>
      <c r="D52" s="51"/>
      <c r="E52" s="89"/>
      <c r="F52" s="131"/>
      <c r="G52" s="8"/>
    </row>
    <row r="53" spans="3:8" ht="12.75">
      <c r="C53" s="52" t="s">
        <v>176</v>
      </c>
      <c r="D53" s="53"/>
      <c r="E53" s="89"/>
      <c r="F53" s="131"/>
      <c r="G53" s="54" t="e">
        <f>+G45+G49</f>
        <v>#DIV/0!</v>
      </c>
      <c r="H53" s="195" t="e">
        <f>+G53/G36</f>
        <v>#DIV/0!</v>
      </c>
    </row>
    <row r="54" spans="3:8" ht="12.75">
      <c r="C54" s="52" t="s">
        <v>177</v>
      </c>
      <c r="D54" s="53"/>
      <c r="E54" s="89"/>
      <c r="F54" s="131"/>
      <c r="G54" s="54" t="e">
        <f>+G46+G50</f>
        <v>#DIV/0!</v>
      </c>
      <c r="H54" s="195" t="e">
        <f>+G54/G36</f>
        <v>#DIV/0!</v>
      </c>
    </row>
    <row r="56" spans="3:7" ht="18">
      <c r="C56" s="56" t="s">
        <v>44</v>
      </c>
      <c r="D56" s="1"/>
      <c r="E56" s="166"/>
      <c r="F56" s="251"/>
      <c r="G56" s="1"/>
    </row>
    <row r="57" ht="7.5" customHeight="1"/>
    <row r="58" ht="12.75">
      <c r="C58" s="57" t="s">
        <v>11</v>
      </c>
    </row>
    <row r="59" spans="3:7" ht="12.75">
      <c r="C59" s="224" t="s">
        <v>12</v>
      </c>
      <c r="D59" s="58"/>
      <c r="E59" s="58"/>
      <c r="F59" s="252"/>
      <c r="G59" s="58"/>
    </row>
    <row r="60" spans="3:7" ht="12.75">
      <c r="C60" s="222" t="s">
        <v>477</v>
      </c>
      <c r="D60" s="223"/>
      <c r="E60" s="223"/>
      <c r="F60" s="253"/>
      <c r="G60" s="223"/>
    </row>
    <row r="61" spans="3:7" ht="12.75">
      <c r="C61" s="222" t="s">
        <v>478</v>
      </c>
      <c r="D61" s="223"/>
      <c r="E61" s="223"/>
      <c r="F61" s="253"/>
      <c r="G61" s="223"/>
    </row>
    <row r="62" spans="3:7" ht="12.75">
      <c r="C62" s="222" t="s">
        <v>479</v>
      </c>
      <c r="D62" s="223"/>
      <c r="E62" s="223"/>
      <c r="F62" s="253"/>
      <c r="G62" s="223"/>
    </row>
    <row r="63" spans="3:7" ht="12.75">
      <c r="C63" s="223" t="s">
        <v>13</v>
      </c>
      <c r="D63" s="223"/>
      <c r="E63" s="223"/>
      <c r="F63" s="253"/>
      <c r="G63" s="223"/>
    </row>
    <row r="64" spans="3:7" ht="12.75">
      <c r="C64" s="222" t="s">
        <v>480</v>
      </c>
      <c r="D64" s="223"/>
      <c r="E64" s="223"/>
      <c r="F64" s="253"/>
      <c r="G64" s="223"/>
    </row>
    <row r="65" spans="3:7" ht="12.75">
      <c r="C65" s="222" t="s">
        <v>482</v>
      </c>
      <c r="D65" s="223"/>
      <c r="E65" s="223"/>
      <c r="F65" s="253"/>
      <c r="G65" s="223"/>
    </row>
    <row r="66" spans="3:7" ht="12.75">
      <c r="C66" s="222" t="s">
        <v>481</v>
      </c>
      <c r="D66" s="223"/>
      <c r="E66" s="223"/>
      <c r="F66" s="253"/>
      <c r="G66" s="223"/>
    </row>
    <row r="67" spans="3:7" ht="12.75">
      <c r="C67" s="222" t="s">
        <v>483</v>
      </c>
      <c r="D67" s="223"/>
      <c r="E67" s="223"/>
      <c r="F67" s="253"/>
      <c r="G67" s="223"/>
    </row>
    <row r="68" spans="3:7" ht="12.75">
      <c r="C68" s="202" t="s">
        <v>484</v>
      </c>
      <c r="D68" s="58"/>
      <c r="E68" s="58"/>
      <c r="F68" s="252"/>
      <c r="G68" s="58"/>
    </row>
    <row r="69" spans="3:7" ht="12.75">
      <c r="C69" s="223" t="s">
        <v>14</v>
      </c>
      <c r="D69" s="223"/>
      <c r="E69" s="223"/>
      <c r="F69" s="253"/>
      <c r="G69" s="223"/>
    </row>
    <row r="70" spans="3:7" ht="12.75" customHeight="1">
      <c r="C70" s="222" t="s">
        <v>47</v>
      </c>
      <c r="D70" s="223"/>
      <c r="E70" s="223"/>
      <c r="F70" s="253"/>
      <c r="G70" s="223"/>
    </row>
    <row r="71" spans="3:7" ht="12.75">
      <c r="C71" s="224" t="s">
        <v>48</v>
      </c>
      <c r="D71" s="58"/>
      <c r="E71" s="58"/>
      <c r="F71" s="252"/>
      <c r="G71" s="58"/>
    </row>
    <row r="72" ht="12.75">
      <c r="C72" s="9" t="s">
        <v>485</v>
      </c>
    </row>
    <row r="73" spans="3:7" ht="12.75">
      <c r="C73" s="225" t="s">
        <v>486</v>
      </c>
      <c r="D73" s="204"/>
      <c r="E73" s="204"/>
      <c r="F73" s="254"/>
      <c r="G73" s="204"/>
    </row>
    <row r="74" spans="3:7" ht="12.75">
      <c r="C74" s="203" t="s">
        <v>487</v>
      </c>
      <c r="D74" s="204"/>
      <c r="E74" s="204"/>
      <c r="F74" s="254"/>
      <c r="G74" s="204"/>
    </row>
    <row r="75" spans="1:18" s="62" customFormat="1" ht="9.75">
      <c r="A75" s="59"/>
      <c r="B75" s="60"/>
      <c r="C75" s="61"/>
      <c r="E75" s="173"/>
      <c r="F75" s="255"/>
      <c r="H75" s="128"/>
      <c r="I75" s="63"/>
      <c r="J75" s="64"/>
      <c r="R75" s="198"/>
    </row>
    <row r="76" spans="3:7" ht="12.75">
      <c r="C76" s="223" t="s">
        <v>488</v>
      </c>
      <c r="D76" s="223"/>
      <c r="E76" s="223"/>
      <c r="F76" s="253"/>
      <c r="G76" s="223"/>
    </row>
    <row r="77" spans="3:7" ht="12.75">
      <c r="C77" s="223" t="s">
        <v>489</v>
      </c>
      <c r="D77" s="223"/>
      <c r="E77" s="223"/>
      <c r="F77" s="253"/>
      <c r="G77" s="223"/>
    </row>
    <row r="78" spans="3:7" ht="12.75">
      <c r="C78" s="223" t="s">
        <v>490</v>
      </c>
      <c r="D78" s="223"/>
      <c r="E78" s="223"/>
      <c r="F78" s="253"/>
      <c r="G78" s="223"/>
    </row>
    <row r="79" spans="1:18" s="62" customFormat="1" ht="7.5" customHeight="1">
      <c r="A79" s="59"/>
      <c r="B79" s="60"/>
      <c r="C79" s="58"/>
      <c r="D79" s="58"/>
      <c r="E79" s="174"/>
      <c r="F79" s="252"/>
      <c r="G79" s="58"/>
      <c r="H79" s="128"/>
      <c r="I79" s="63"/>
      <c r="J79" s="64"/>
      <c r="R79" s="198"/>
    </row>
    <row r="80" spans="3:7" ht="12.75">
      <c r="C80" s="223" t="s">
        <v>491</v>
      </c>
      <c r="D80" s="223"/>
      <c r="E80" s="223"/>
      <c r="F80" s="253"/>
      <c r="G80" s="223"/>
    </row>
    <row r="81" spans="3:7" ht="12.75">
      <c r="C81" s="226" t="s">
        <v>492</v>
      </c>
      <c r="D81" s="58"/>
      <c r="E81" s="58"/>
      <c r="F81" s="252"/>
      <c r="G81" s="58"/>
    </row>
    <row r="82" spans="3:7" ht="12.75">
      <c r="C82" s="205" t="s">
        <v>493</v>
      </c>
      <c r="D82" s="58"/>
      <c r="E82" s="174"/>
      <c r="F82" s="252"/>
      <c r="G82" s="58"/>
    </row>
    <row r="83" spans="3:7" ht="12.75">
      <c r="C83" s="205" t="s">
        <v>494</v>
      </c>
      <c r="D83" s="58"/>
      <c r="E83" s="174"/>
      <c r="F83" s="252"/>
      <c r="G83" s="58"/>
    </row>
    <row r="84" spans="3:7" ht="15.75" customHeight="1">
      <c r="C84" s="222" t="s">
        <v>45</v>
      </c>
      <c r="D84" s="222"/>
      <c r="E84" s="222"/>
      <c r="F84" s="256"/>
      <c r="G84" s="222"/>
    </row>
    <row r="85" spans="3:7" ht="12.75">
      <c r="C85" s="227" t="s">
        <v>495</v>
      </c>
      <c r="D85" s="227"/>
      <c r="E85" s="227"/>
      <c r="F85" s="257"/>
      <c r="G85" s="227"/>
    </row>
    <row r="86" spans="3:7" ht="12.75">
      <c r="C86" s="227" t="s">
        <v>496</v>
      </c>
      <c r="D86" s="227"/>
      <c r="E86" s="227"/>
      <c r="F86" s="257"/>
      <c r="G86" s="227"/>
    </row>
    <row r="87" spans="3:7" ht="12.75">
      <c r="C87" s="227" t="s">
        <v>497</v>
      </c>
      <c r="D87" s="227"/>
      <c r="E87" s="227"/>
      <c r="F87" s="257"/>
      <c r="G87" s="227"/>
    </row>
    <row r="88" spans="3:7" ht="12.75">
      <c r="C88" s="227" t="s">
        <v>498</v>
      </c>
      <c r="D88" s="227"/>
      <c r="E88" s="227"/>
      <c r="F88" s="257"/>
      <c r="G88" s="227"/>
    </row>
    <row r="89" spans="3:7" ht="12.75">
      <c r="C89" s="227" t="s">
        <v>499</v>
      </c>
      <c r="D89" s="227"/>
      <c r="E89" s="227"/>
      <c r="F89" s="257"/>
      <c r="G89" s="227"/>
    </row>
    <row r="90" spans="3:7" ht="12.75">
      <c r="C90" s="227" t="s">
        <v>500</v>
      </c>
      <c r="D90" s="227"/>
      <c r="E90" s="227"/>
      <c r="F90" s="257"/>
      <c r="G90" s="227"/>
    </row>
    <row r="91" spans="3:7" ht="12.75">
      <c r="C91" s="227" t="s">
        <v>501</v>
      </c>
      <c r="D91" s="227"/>
      <c r="E91" s="227"/>
      <c r="F91" s="257"/>
      <c r="G91" s="227"/>
    </row>
    <row r="92" spans="4:7" ht="12.75">
      <c r="D92" s="65"/>
      <c r="E92" s="175"/>
      <c r="F92" s="258"/>
      <c r="G92" s="65"/>
    </row>
    <row r="93" spans="3:7" ht="12.75" customHeight="1">
      <c r="C93" s="228" t="s">
        <v>32</v>
      </c>
      <c r="D93" s="228"/>
      <c r="E93" s="228"/>
      <c r="F93" s="259"/>
      <c r="G93" s="228"/>
    </row>
    <row r="94" spans="1:7" ht="14.25" customHeight="1">
      <c r="A94" s="66"/>
      <c r="B94" s="67"/>
      <c r="C94" s="228" t="s">
        <v>31</v>
      </c>
      <c r="D94" s="228"/>
      <c r="E94" s="228"/>
      <c r="F94" s="259"/>
      <c r="G94" s="228"/>
    </row>
    <row r="95" spans="1:7" ht="7.5" customHeight="1">
      <c r="A95" s="66"/>
      <c r="B95" s="68"/>
      <c r="C95" s="30"/>
      <c r="D95" s="1"/>
      <c r="E95" s="166"/>
      <c r="F95" s="260"/>
      <c r="G95" s="69"/>
    </row>
    <row r="96" spans="1:18" s="75" customFormat="1" ht="16.5">
      <c r="A96" s="70"/>
      <c r="B96" s="71">
        <v>1</v>
      </c>
      <c r="C96" s="72" t="s">
        <v>188</v>
      </c>
      <c r="D96" s="72"/>
      <c r="E96" s="72"/>
      <c r="F96" s="261"/>
      <c r="G96" s="72"/>
      <c r="H96" s="129"/>
      <c r="I96" s="73"/>
      <c r="J96" s="74"/>
      <c r="R96" s="199"/>
    </row>
    <row r="97" spans="1:17" ht="18" customHeight="1">
      <c r="A97" s="76">
        <v>1</v>
      </c>
      <c r="B97" s="77"/>
      <c r="C97" s="78" t="s">
        <v>260</v>
      </c>
      <c r="D97" s="79" t="s">
        <v>17</v>
      </c>
      <c r="E97" s="176">
        <v>1</v>
      </c>
      <c r="F97" s="262"/>
      <c r="G97" s="80">
        <f aca="true" t="shared" si="1" ref="G97:G118">E97*F97</f>
        <v>0</v>
      </c>
      <c r="H97" s="125" t="s">
        <v>174</v>
      </c>
      <c r="M97" s="36"/>
      <c r="P97" s="81">
        <f>0.068*E97</f>
        <v>0.068</v>
      </c>
      <c r="Q97" s="51" t="s">
        <v>22</v>
      </c>
    </row>
    <row r="98" spans="1:17" ht="25.5">
      <c r="A98" s="76">
        <f aca="true" t="shared" si="2" ref="A98:A131">A97+1</f>
        <v>2</v>
      </c>
      <c r="B98" s="77"/>
      <c r="C98" s="78" t="s">
        <v>259</v>
      </c>
      <c r="D98" s="79" t="s">
        <v>17</v>
      </c>
      <c r="E98" s="176">
        <v>1</v>
      </c>
      <c r="F98" s="262"/>
      <c r="G98" s="80">
        <f t="shared" si="1"/>
        <v>0</v>
      </c>
      <c r="H98" s="125" t="s">
        <v>174</v>
      </c>
      <c r="M98" s="36">
        <f>2.1*0.3*0.016</f>
        <v>0.01008</v>
      </c>
      <c r="N98" s="3">
        <v>0.7</v>
      </c>
      <c r="P98" s="81">
        <f>+E98*M98*N98</f>
        <v>0.007056</v>
      </c>
      <c r="Q98" s="51" t="s">
        <v>22</v>
      </c>
    </row>
    <row r="99" spans="1:17" ht="12.75">
      <c r="A99" s="76">
        <f t="shared" si="2"/>
        <v>3</v>
      </c>
      <c r="B99" s="77"/>
      <c r="C99" s="78" t="s">
        <v>87</v>
      </c>
      <c r="D99" s="79" t="s">
        <v>20</v>
      </c>
      <c r="E99" s="176">
        <v>7</v>
      </c>
      <c r="F99" s="262"/>
      <c r="G99" s="80">
        <f t="shared" si="1"/>
        <v>0</v>
      </c>
      <c r="H99" s="125" t="s">
        <v>174</v>
      </c>
      <c r="M99" s="36"/>
      <c r="P99" s="81">
        <f>0.014*E99</f>
        <v>0.098</v>
      </c>
      <c r="Q99" s="51" t="s">
        <v>22</v>
      </c>
    </row>
    <row r="100" spans="1:17" ht="28.5" customHeight="1">
      <c r="A100" s="76">
        <f t="shared" si="2"/>
        <v>4</v>
      </c>
      <c r="B100" s="77"/>
      <c r="C100" s="78" t="s">
        <v>242</v>
      </c>
      <c r="D100" s="79" t="s">
        <v>20</v>
      </c>
      <c r="E100" s="176">
        <v>7</v>
      </c>
      <c r="F100" s="262"/>
      <c r="G100" s="80">
        <f t="shared" si="1"/>
        <v>0</v>
      </c>
      <c r="H100" s="127" t="s">
        <v>174</v>
      </c>
      <c r="M100" s="36"/>
      <c r="P100" s="81">
        <f>0.02*E100</f>
        <v>0.14</v>
      </c>
      <c r="Q100" s="51" t="s">
        <v>22</v>
      </c>
    </row>
    <row r="101" spans="1:17" ht="19.5" customHeight="1">
      <c r="A101" s="76">
        <f t="shared" si="2"/>
        <v>5</v>
      </c>
      <c r="B101" s="77"/>
      <c r="C101" s="78" t="s">
        <v>312</v>
      </c>
      <c r="D101" s="79" t="s">
        <v>17</v>
      </c>
      <c r="E101" s="176">
        <v>1</v>
      </c>
      <c r="F101" s="262"/>
      <c r="G101" s="80">
        <f t="shared" si="1"/>
        <v>0</v>
      </c>
      <c r="H101" s="127" t="s">
        <v>174</v>
      </c>
      <c r="M101" s="36"/>
      <c r="P101" s="81">
        <f>5*0.015</f>
        <v>0.075</v>
      </c>
      <c r="Q101" s="51" t="s">
        <v>22</v>
      </c>
    </row>
    <row r="102" spans="1:17" ht="25.5">
      <c r="A102" s="76">
        <f t="shared" si="2"/>
        <v>6</v>
      </c>
      <c r="B102" s="77"/>
      <c r="C102" s="78" t="s">
        <v>269</v>
      </c>
      <c r="D102" s="79" t="s">
        <v>18</v>
      </c>
      <c r="E102" s="176">
        <f>0.05*E185</f>
        <v>8.60788</v>
      </c>
      <c r="F102" s="262"/>
      <c r="G102" s="80">
        <f>E102*F102</f>
        <v>0</v>
      </c>
      <c r="H102" s="127" t="s">
        <v>174</v>
      </c>
      <c r="M102" s="36">
        <v>0.01</v>
      </c>
      <c r="N102" s="3">
        <v>2.1</v>
      </c>
      <c r="O102" s="3">
        <f>+E102*M102</f>
        <v>0.0860788</v>
      </c>
      <c r="P102" s="81">
        <f>+N102*O102</f>
        <v>0.18076548</v>
      </c>
      <c r="Q102" s="51"/>
    </row>
    <row r="103" spans="1:17" ht="12.75">
      <c r="A103" s="76">
        <f t="shared" si="2"/>
        <v>7</v>
      </c>
      <c r="B103" s="77"/>
      <c r="C103" s="78" t="s">
        <v>203</v>
      </c>
      <c r="D103" s="79" t="s">
        <v>18</v>
      </c>
      <c r="E103" s="176">
        <f>+(2*0.7+2*1.6)*0.8</f>
        <v>3.6799999999999997</v>
      </c>
      <c r="F103" s="262"/>
      <c r="G103" s="80">
        <f>E103*F103</f>
        <v>0</v>
      </c>
      <c r="H103" s="127" t="s">
        <v>174</v>
      </c>
      <c r="M103" s="36">
        <v>0.1</v>
      </c>
      <c r="N103" s="3">
        <v>2.1</v>
      </c>
      <c r="O103" s="3">
        <f>+E103*M103</f>
        <v>0.368</v>
      </c>
      <c r="P103" s="81">
        <f>+N103*O103</f>
        <v>0.7728</v>
      </c>
      <c r="Q103" s="51"/>
    </row>
    <row r="104" spans="1:17" ht="12.75">
      <c r="A104" s="76">
        <f t="shared" si="2"/>
        <v>8</v>
      </c>
      <c r="B104" s="77"/>
      <c r="C104" s="78" t="s">
        <v>243</v>
      </c>
      <c r="D104" s="79" t="s">
        <v>18</v>
      </c>
      <c r="E104" s="176">
        <f>2.3*2.05+1.25*1.5+2*0.6</f>
        <v>7.789999999999999</v>
      </c>
      <c r="F104" s="262"/>
      <c r="G104" s="80">
        <f t="shared" si="1"/>
        <v>0</v>
      </c>
      <c r="H104" s="127" t="s">
        <v>174</v>
      </c>
      <c r="M104" s="36"/>
      <c r="P104" s="81">
        <f>0.02*E104*1600/1000</f>
        <v>0.24928</v>
      </c>
      <c r="Q104" s="51" t="s">
        <v>22</v>
      </c>
    </row>
    <row r="105" spans="1:17" ht="12.75">
      <c r="A105" s="76">
        <f t="shared" si="2"/>
        <v>9</v>
      </c>
      <c r="B105" s="77"/>
      <c r="C105" s="78" t="s">
        <v>244</v>
      </c>
      <c r="D105" s="79" t="s">
        <v>18</v>
      </c>
      <c r="E105" s="176">
        <f>0.8*1.9</f>
        <v>1.52</v>
      </c>
      <c r="F105" s="262"/>
      <c r="G105" s="80">
        <f t="shared" si="1"/>
        <v>0</v>
      </c>
      <c r="H105" s="127" t="s">
        <v>174</v>
      </c>
      <c r="M105" s="36">
        <v>0.015</v>
      </c>
      <c r="N105" s="3">
        <v>0.6</v>
      </c>
      <c r="P105" s="81">
        <f>+E105*M105*N105</f>
        <v>0.01368</v>
      </c>
      <c r="Q105" s="51"/>
    </row>
    <row r="106" spans="1:17" ht="12.75">
      <c r="A106" s="76">
        <f t="shared" si="2"/>
        <v>10</v>
      </c>
      <c r="B106" s="77"/>
      <c r="C106" s="78" t="s">
        <v>378</v>
      </c>
      <c r="D106" s="79" t="s">
        <v>18</v>
      </c>
      <c r="E106" s="176">
        <f>7.7+0.9+1.2+2.8+10.2</f>
        <v>22.799999999999997</v>
      </c>
      <c r="F106" s="262"/>
      <c r="G106" s="80">
        <f t="shared" si="1"/>
        <v>0</v>
      </c>
      <c r="H106" s="127" t="s">
        <v>174</v>
      </c>
      <c r="M106" s="36"/>
      <c r="P106" s="81"/>
      <c r="Q106" s="51"/>
    </row>
    <row r="107" spans="1:17" ht="25.5">
      <c r="A107" s="76">
        <f t="shared" si="2"/>
        <v>11</v>
      </c>
      <c r="B107" s="77"/>
      <c r="C107" s="78" t="s">
        <v>379</v>
      </c>
      <c r="D107" s="79" t="s">
        <v>182</v>
      </c>
      <c r="E107" s="176">
        <f>(7.7+0.9+1.2+2.8+10.2)*0.07</f>
        <v>1.5959999999999999</v>
      </c>
      <c r="F107" s="262"/>
      <c r="G107" s="80">
        <f t="shared" si="1"/>
        <v>0</v>
      </c>
      <c r="H107" s="127" t="s">
        <v>174</v>
      </c>
      <c r="M107" s="36">
        <v>0.08</v>
      </c>
      <c r="N107" s="36">
        <v>2.2</v>
      </c>
      <c r="O107" s="36"/>
      <c r="P107" s="81">
        <f>+E107*M107*N107</f>
        <v>0.280896</v>
      </c>
      <c r="Q107" s="51"/>
    </row>
    <row r="108" spans="1:17" ht="12.75">
      <c r="A108" s="76">
        <f>A107+1</f>
        <v>12</v>
      </c>
      <c r="B108" s="77"/>
      <c r="C108" s="78" t="s">
        <v>194</v>
      </c>
      <c r="D108" s="79" t="s">
        <v>182</v>
      </c>
      <c r="E108" s="176">
        <f>+(7.7+0.9+1.2+2.8+10.2)*0.07+(14.5+23.1)*0.09</f>
        <v>4.9799999999999995</v>
      </c>
      <c r="F108" s="262"/>
      <c r="G108" s="80">
        <f t="shared" si="1"/>
        <v>0</v>
      </c>
      <c r="H108" s="127" t="s">
        <v>174</v>
      </c>
      <c r="M108" s="36"/>
      <c r="N108" s="36">
        <v>1</v>
      </c>
      <c r="O108" s="36"/>
      <c r="P108" s="81">
        <f>+E108*N108</f>
        <v>4.9799999999999995</v>
      </c>
      <c r="Q108" s="51"/>
    </row>
    <row r="109" spans="1:17" ht="25.5">
      <c r="A109" s="76">
        <f t="shared" si="2"/>
        <v>13</v>
      </c>
      <c r="B109" s="77"/>
      <c r="C109" s="82" t="s">
        <v>316</v>
      </c>
      <c r="D109" s="79" t="s">
        <v>18</v>
      </c>
      <c r="E109" s="176">
        <f>14.5+23.1</f>
        <v>37.6</v>
      </c>
      <c r="F109" s="262"/>
      <c r="G109" s="80">
        <f t="shared" si="1"/>
        <v>0</v>
      </c>
      <c r="H109" s="127" t="s">
        <v>174</v>
      </c>
      <c r="I109" s="83"/>
      <c r="M109" s="36">
        <v>0.02</v>
      </c>
      <c r="N109" s="36">
        <v>0.6</v>
      </c>
      <c r="O109" s="36"/>
      <c r="P109" s="81">
        <f>+E109*M109*N109</f>
        <v>0.4512</v>
      </c>
      <c r="Q109" s="51"/>
    </row>
    <row r="110" spans="1:17" ht="12.75">
      <c r="A110" s="76">
        <f t="shared" si="2"/>
        <v>14</v>
      </c>
      <c r="B110" s="77"/>
      <c r="C110" s="78" t="s">
        <v>245</v>
      </c>
      <c r="D110" s="79" t="s">
        <v>182</v>
      </c>
      <c r="E110" s="176">
        <f>+E109*0.03</f>
        <v>1.128</v>
      </c>
      <c r="F110" s="262"/>
      <c r="G110" s="80">
        <f t="shared" si="1"/>
        <v>0</v>
      </c>
      <c r="H110" s="127" t="s">
        <v>174</v>
      </c>
      <c r="M110" s="36">
        <v>0.03</v>
      </c>
      <c r="N110" s="36">
        <v>0.8</v>
      </c>
      <c r="O110" s="36"/>
      <c r="P110" s="81">
        <f>+E110*M110*N110</f>
        <v>0.027072</v>
      </c>
      <c r="Q110" s="51"/>
    </row>
    <row r="111" spans="1:17" ht="12.75">
      <c r="A111" s="76">
        <f t="shared" si="2"/>
        <v>15</v>
      </c>
      <c r="B111" s="77"/>
      <c r="C111" s="78" t="s">
        <v>261</v>
      </c>
      <c r="D111" s="79" t="s">
        <v>182</v>
      </c>
      <c r="E111" s="176">
        <f>5*8.85*0.06*0.08</f>
        <v>0.21239999999999998</v>
      </c>
      <c r="F111" s="262"/>
      <c r="G111" s="80">
        <f t="shared" si="1"/>
        <v>0</v>
      </c>
      <c r="H111" s="127" t="s">
        <v>174</v>
      </c>
      <c r="M111" s="36">
        <f>0.1*0.1</f>
        <v>0.010000000000000002</v>
      </c>
      <c r="N111" s="36">
        <v>0.8</v>
      </c>
      <c r="O111" s="36"/>
      <c r="P111" s="81">
        <f>+E111*M111*N111</f>
        <v>0.0016992</v>
      </c>
      <c r="Q111" s="51"/>
    </row>
    <row r="112" spans="1:17" ht="12.75">
      <c r="A112" s="76">
        <f t="shared" si="2"/>
        <v>16</v>
      </c>
      <c r="B112" s="77"/>
      <c r="C112" s="78" t="s">
        <v>262</v>
      </c>
      <c r="D112" s="79" t="s">
        <v>18</v>
      </c>
      <c r="E112" s="176">
        <f>0.87*0.58</f>
        <v>0.5045999999999999</v>
      </c>
      <c r="F112" s="262"/>
      <c r="G112" s="80">
        <f t="shared" si="1"/>
        <v>0</v>
      </c>
      <c r="H112" s="127" t="s">
        <v>174</v>
      </c>
      <c r="M112" s="36"/>
      <c r="N112" s="36"/>
      <c r="O112" s="36"/>
      <c r="P112" s="81"/>
      <c r="Q112" s="51"/>
    </row>
    <row r="113" spans="1:17" ht="12.75">
      <c r="A113" s="76">
        <f t="shared" si="2"/>
        <v>17</v>
      </c>
      <c r="B113" s="77"/>
      <c r="C113" s="78" t="s">
        <v>88</v>
      </c>
      <c r="D113" s="79" t="s">
        <v>20</v>
      </c>
      <c r="E113" s="176">
        <v>1</v>
      </c>
      <c r="F113" s="262"/>
      <c r="G113" s="80">
        <f t="shared" si="1"/>
        <v>0</v>
      </c>
      <c r="H113" s="127" t="s">
        <v>174</v>
      </c>
      <c r="M113" s="36"/>
      <c r="P113" s="81">
        <f>E113*0.03</f>
        <v>0.03</v>
      </c>
      <c r="Q113" s="51" t="s">
        <v>22</v>
      </c>
    </row>
    <row r="114" spans="1:17" ht="12.75">
      <c r="A114" s="76">
        <f t="shared" si="2"/>
        <v>18</v>
      </c>
      <c r="B114" s="77"/>
      <c r="C114" s="78" t="s">
        <v>89</v>
      </c>
      <c r="D114" s="79" t="s">
        <v>20</v>
      </c>
      <c r="E114" s="176">
        <v>1</v>
      </c>
      <c r="F114" s="262"/>
      <c r="G114" s="80">
        <f t="shared" si="1"/>
        <v>0</v>
      </c>
      <c r="H114" s="127" t="s">
        <v>174</v>
      </c>
      <c r="M114" s="36"/>
      <c r="P114" s="81">
        <f>0.02*E114</f>
        <v>0.02</v>
      </c>
      <c r="Q114" s="51" t="s">
        <v>22</v>
      </c>
    </row>
    <row r="115" spans="1:17" ht="12.75">
      <c r="A115" s="76">
        <f t="shared" si="2"/>
        <v>19</v>
      </c>
      <c r="B115" s="77"/>
      <c r="C115" s="78" t="s">
        <v>214</v>
      </c>
      <c r="D115" s="79" t="s">
        <v>20</v>
      </c>
      <c r="E115" s="176">
        <v>1</v>
      </c>
      <c r="F115" s="262"/>
      <c r="G115" s="80">
        <f t="shared" si="1"/>
        <v>0</v>
      </c>
      <c r="H115" s="127" t="s">
        <v>174</v>
      </c>
      <c r="M115" s="36"/>
      <c r="P115" s="81"/>
      <c r="Q115" s="51"/>
    </row>
    <row r="116" spans="1:17" ht="12.75">
      <c r="A116" s="76">
        <f t="shared" si="2"/>
        <v>20</v>
      </c>
      <c r="B116" s="77"/>
      <c r="C116" s="78" t="s">
        <v>90</v>
      </c>
      <c r="D116" s="79" t="s">
        <v>20</v>
      </c>
      <c r="E116" s="176">
        <v>2</v>
      </c>
      <c r="F116" s="262"/>
      <c r="G116" s="80">
        <f t="shared" si="1"/>
        <v>0</v>
      </c>
      <c r="H116" s="127" t="s">
        <v>174</v>
      </c>
      <c r="M116" s="36"/>
      <c r="P116" s="81"/>
      <c r="Q116" s="51"/>
    </row>
    <row r="117" spans="1:17" ht="12.75">
      <c r="A117" s="76">
        <f t="shared" si="2"/>
        <v>21</v>
      </c>
      <c r="B117" s="77"/>
      <c r="C117" s="78" t="s">
        <v>204</v>
      </c>
      <c r="D117" s="79" t="s">
        <v>20</v>
      </c>
      <c r="E117" s="176">
        <v>1</v>
      </c>
      <c r="F117" s="262"/>
      <c r="G117" s="80">
        <f t="shared" si="1"/>
        <v>0</v>
      </c>
      <c r="H117" s="127" t="s">
        <v>174</v>
      </c>
      <c r="M117" s="36"/>
      <c r="P117" s="81">
        <f>0.38*E117</f>
        <v>0.38</v>
      </c>
      <c r="Q117" s="51" t="s">
        <v>22</v>
      </c>
    </row>
    <row r="118" spans="1:17" ht="12.75">
      <c r="A118" s="76">
        <f t="shared" si="2"/>
        <v>22</v>
      </c>
      <c r="B118" s="77"/>
      <c r="C118" s="78" t="s">
        <v>185</v>
      </c>
      <c r="D118" s="79" t="s">
        <v>17</v>
      </c>
      <c r="E118" s="176">
        <v>1</v>
      </c>
      <c r="F118" s="262"/>
      <c r="G118" s="80">
        <f t="shared" si="1"/>
        <v>0</v>
      </c>
      <c r="H118" s="127" t="s">
        <v>174</v>
      </c>
      <c r="M118" s="36"/>
      <c r="P118" s="81">
        <f>0.02*E118</f>
        <v>0.02</v>
      </c>
      <c r="Q118" s="51" t="s">
        <v>22</v>
      </c>
    </row>
    <row r="119" spans="1:17" ht="12.75">
      <c r="A119" s="76">
        <f t="shared" si="2"/>
        <v>23</v>
      </c>
      <c r="B119" s="77"/>
      <c r="C119" s="78" t="s">
        <v>246</v>
      </c>
      <c r="D119" s="79" t="s">
        <v>18</v>
      </c>
      <c r="E119" s="176">
        <f>+(2.22*2.45)-0.7*2.05+(4.27+1.58)*2.45-0.8*2.05-0.7*2.05-0.87*0.58+0.92*2.45-0.9*2.05</f>
        <v>15.165899999999999</v>
      </c>
      <c r="F119" s="262"/>
      <c r="G119" s="80">
        <f aca="true" t="shared" si="3" ref="G119:G128">E119*F119</f>
        <v>0</v>
      </c>
      <c r="H119" s="127" t="s">
        <v>174</v>
      </c>
      <c r="M119" s="36"/>
      <c r="N119" s="3">
        <v>2.1</v>
      </c>
      <c r="O119" s="36">
        <f>+E119*0.1</f>
        <v>1.5165899999999999</v>
      </c>
      <c r="P119" s="84">
        <f>+O119*N119</f>
        <v>3.1848389999999998</v>
      </c>
      <c r="Q119" s="51" t="s">
        <v>22</v>
      </c>
    </row>
    <row r="120" spans="1:17" ht="12.75">
      <c r="A120" s="76"/>
      <c r="B120" s="77"/>
      <c r="C120" s="85" t="s">
        <v>290</v>
      </c>
      <c r="D120" s="79"/>
      <c r="E120" s="176"/>
      <c r="F120" s="262"/>
      <c r="G120" s="80"/>
      <c r="H120" s="127"/>
      <c r="M120" s="36"/>
      <c r="O120" s="36"/>
      <c r="P120" s="84"/>
      <c r="Q120" s="51"/>
    </row>
    <row r="121" spans="1:17" ht="12.75">
      <c r="A121" s="76"/>
      <c r="B121" s="77"/>
      <c r="C121" s="85" t="s">
        <v>291</v>
      </c>
      <c r="D121" s="79"/>
      <c r="E121" s="176"/>
      <c r="F121" s="262"/>
      <c r="G121" s="80"/>
      <c r="H121" s="127"/>
      <c r="M121" s="36"/>
      <c r="O121" s="36"/>
      <c r="P121" s="84"/>
      <c r="Q121" s="51"/>
    </row>
    <row r="122" spans="1:17" ht="12.75">
      <c r="A122" s="76"/>
      <c r="B122" s="77"/>
      <c r="C122" s="85" t="s">
        <v>292</v>
      </c>
      <c r="D122" s="79"/>
      <c r="E122" s="176"/>
      <c r="F122" s="262"/>
      <c r="G122" s="80"/>
      <c r="H122" s="127"/>
      <c r="M122" s="36"/>
      <c r="O122" s="36"/>
      <c r="P122" s="84"/>
      <c r="Q122" s="51"/>
    </row>
    <row r="123" spans="1:17" ht="12.75">
      <c r="A123" s="76">
        <f>A119+1</f>
        <v>24</v>
      </c>
      <c r="B123" s="77"/>
      <c r="C123" s="78" t="s">
        <v>293</v>
      </c>
      <c r="D123" s="79" t="s">
        <v>18</v>
      </c>
      <c r="E123" s="176">
        <v>23.1</v>
      </c>
      <c r="F123" s="262"/>
      <c r="G123" s="80">
        <f>E123*F123</f>
        <v>0</v>
      </c>
      <c r="H123" s="127" t="s">
        <v>174</v>
      </c>
      <c r="M123" s="36"/>
      <c r="O123" s="36"/>
      <c r="P123" s="84"/>
      <c r="Q123" s="51"/>
    </row>
    <row r="124" spans="1:16" ht="12.75">
      <c r="A124" s="76">
        <f>A123+1</f>
        <v>25</v>
      </c>
      <c r="B124" s="77"/>
      <c r="C124" s="78" t="s">
        <v>156</v>
      </c>
      <c r="D124" s="79" t="s">
        <v>18</v>
      </c>
      <c r="E124" s="176">
        <f>2*0.58*1.33+3*1.32*1.35+0.9*2.2</f>
        <v>8.8688</v>
      </c>
      <c r="F124" s="262"/>
      <c r="G124" s="80">
        <f t="shared" si="3"/>
        <v>0</v>
      </c>
      <c r="H124" s="127" t="s">
        <v>174</v>
      </c>
      <c r="M124" s="36"/>
      <c r="P124" s="84"/>
    </row>
    <row r="125" spans="1:18" s="51" customFormat="1" ht="12.75">
      <c r="A125" s="86">
        <f>A124+1</f>
        <v>26</v>
      </c>
      <c r="B125" s="87"/>
      <c r="C125" s="78" t="s">
        <v>377</v>
      </c>
      <c r="D125" s="88" t="s">
        <v>17</v>
      </c>
      <c r="E125" s="177">
        <v>1</v>
      </c>
      <c r="F125" s="262"/>
      <c r="G125" s="80">
        <f t="shared" si="3"/>
        <v>0</v>
      </c>
      <c r="H125" s="125" t="s">
        <v>174</v>
      </c>
      <c r="I125" s="5"/>
      <c r="P125" s="89"/>
      <c r="R125" s="131"/>
    </row>
    <row r="126" spans="1:17" ht="12.75">
      <c r="A126" s="86">
        <f>A125+1</f>
        <v>27</v>
      </c>
      <c r="B126" s="77"/>
      <c r="C126" s="78" t="s">
        <v>271</v>
      </c>
      <c r="D126" s="79" t="s">
        <v>17</v>
      </c>
      <c r="E126" s="176">
        <v>1</v>
      </c>
      <c r="F126" s="262"/>
      <c r="G126" s="80">
        <f t="shared" si="3"/>
        <v>0</v>
      </c>
      <c r="H126" s="127" t="s">
        <v>174</v>
      </c>
      <c r="M126" s="36"/>
      <c r="P126" s="84">
        <v>0.02</v>
      </c>
      <c r="Q126" s="3" t="s">
        <v>22</v>
      </c>
    </row>
    <row r="127" spans="1:18" s="51" customFormat="1" ht="25.5">
      <c r="A127" s="86">
        <f t="shared" si="2"/>
        <v>28</v>
      </c>
      <c r="B127" s="87"/>
      <c r="C127" s="82" t="s">
        <v>317</v>
      </c>
      <c r="D127" s="88" t="s">
        <v>17</v>
      </c>
      <c r="E127" s="177">
        <v>1</v>
      </c>
      <c r="F127" s="262"/>
      <c r="G127" s="90">
        <f>E127*F127</f>
        <v>0</v>
      </c>
      <c r="H127" s="125" t="s">
        <v>174</v>
      </c>
      <c r="M127" s="51">
        <f>0.3*0.001</f>
        <v>0.0003</v>
      </c>
      <c r="N127" s="51">
        <v>2.1</v>
      </c>
      <c r="P127" s="51">
        <f>+M127*N127</f>
        <v>0.0006299999999999999</v>
      </c>
      <c r="R127" s="131"/>
    </row>
    <row r="128" spans="1:17" ht="12.75">
      <c r="A128" s="86">
        <f t="shared" si="2"/>
        <v>29</v>
      </c>
      <c r="B128" s="77"/>
      <c r="C128" s="78" t="s">
        <v>84</v>
      </c>
      <c r="D128" s="79" t="s">
        <v>22</v>
      </c>
      <c r="E128" s="176">
        <f>+P128</f>
        <v>11.000917679999997</v>
      </c>
      <c r="F128" s="262"/>
      <c r="G128" s="80">
        <f t="shared" si="3"/>
        <v>0</v>
      </c>
      <c r="H128" s="127" t="s">
        <v>174</v>
      </c>
      <c r="M128" s="36"/>
      <c r="P128" s="91">
        <f>SUM(P97:P127)</f>
        <v>11.000917679999997</v>
      </c>
      <c r="Q128" s="16" t="s">
        <v>22</v>
      </c>
    </row>
    <row r="129" spans="1:8" ht="12.75">
      <c r="A129" s="86">
        <f t="shared" si="2"/>
        <v>30</v>
      </c>
      <c r="B129" s="77"/>
      <c r="C129" s="78" t="s">
        <v>85</v>
      </c>
      <c r="D129" s="79" t="s">
        <v>22</v>
      </c>
      <c r="E129" s="176">
        <f>+E128</f>
        <v>11.000917679999997</v>
      </c>
      <c r="F129" s="262"/>
      <c r="G129" s="80">
        <f>E129*F129</f>
        <v>0</v>
      </c>
      <c r="H129" s="127" t="s">
        <v>174</v>
      </c>
    </row>
    <row r="130" spans="1:8" ht="12.75">
      <c r="A130" s="76">
        <f t="shared" si="2"/>
        <v>31</v>
      </c>
      <c r="B130" s="77"/>
      <c r="C130" s="78" t="s">
        <v>86</v>
      </c>
      <c r="D130" s="79" t="s">
        <v>22</v>
      </c>
      <c r="E130" s="176">
        <f>+P128</f>
        <v>11.000917679999997</v>
      </c>
      <c r="F130" s="262"/>
      <c r="G130" s="80">
        <f>E130*F130</f>
        <v>0</v>
      </c>
      <c r="H130" s="127" t="s">
        <v>174</v>
      </c>
    </row>
    <row r="131" spans="1:8" ht="25.5">
      <c r="A131" s="76">
        <f t="shared" si="2"/>
        <v>32</v>
      </c>
      <c r="B131" s="77"/>
      <c r="C131" s="78" t="s">
        <v>91</v>
      </c>
      <c r="D131" s="79" t="s">
        <v>22</v>
      </c>
      <c r="E131" s="176">
        <f>+P99+P109+P110+P111+P98+P105</f>
        <v>0.5987072</v>
      </c>
      <c r="F131" s="262"/>
      <c r="G131" s="80">
        <f>E131*F131</f>
        <v>0</v>
      </c>
      <c r="H131" s="127" t="s">
        <v>174</v>
      </c>
    </row>
    <row r="132" spans="1:8" ht="26.25" thickBot="1">
      <c r="A132" s="76">
        <f>A131+1</f>
        <v>33</v>
      </c>
      <c r="B132" s="77"/>
      <c r="C132" s="78" t="s">
        <v>83</v>
      </c>
      <c r="D132" s="79" t="s">
        <v>22</v>
      </c>
      <c r="E132" s="176">
        <f>+P97+P114+P113+P128</f>
        <v>11.118917679999997</v>
      </c>
      <c r="F132" s="262"/>
      <c r="G132" s="80">
        <f>E132*F132</f>
        <v>0</v>
      </c>
      <c r="H132" s="127" t="s">
        <v>174</v>
      </c>
    </row>
    <row r="133" spans="1:8" ht="13.5" thickBot="1">
      <c r="A133" s="76"/>
      <c r="B133" s="77"/>
      <c r="C133" s="92" t="s">
        <v>19</v>
      </c>
      <c r="D133" s="93"/>
      <c r="E133" s="178"/>
      <c r="F133" s="263"/>
      <c r="G133" s="94">
        <f>SUBTOTAL(9,G97:G132)</f>
        <v>0</v>
      </c>
      <c r="H133" s="153"/>
    </row>
    <row r="134" spans="1:8" ht="12.75">
      <c r="A134" s="76"/>
      <c r="B134" s="77"/>
      <c r="C134" s="95"/>
      <c r="D134" s="96"/>
      <c r="E134" s="166"/>
      <c r="F134" s="251"/>
      <c r="G134" s="97"/>
      <c r="H134" s="127"/>
    </row>
    <row r="135" spans="1:8" ht="16.5">
      <c r="A135" s="76"/>
      <c r="B135" s="71" t="s">
        <v>27</v>
      </c>
      <c r="C135" s="72" t="s">
        <v>157</v>
      </c>
      <c r="D135" s="72"/>
      <c r="E135" s="72"/>
      <c r="F135" s="261"/>
      <c r="G135" s="72"/>
      <c r="H135" s="127"/>
    </row>
    <row r="136" spans="1:8" ht="16.5">
      <c r="A136" s="76"/>
      <c r="B136" s="98" t="s">
        <v>35</v>
      </c>
      <c r="C136" s="72" t="s">
        <v>50</v>
      </c>
      <c r="D136" s="72"/>
      <c r="E136" s="72"/>
      <c r="F136" s="261"/>
      <c r="G136" s="72"/>
      <c r="H136" s="127"/>
    </row>
    <row r="137" spans="1:10" ht="38.25">
      <c r="A137" s="76">
        <f>+A132+1</f>
        <v>34</v>
      </c>
      <c r="B137" s="77"/>
      <c r="C137" s="82" t="s">
        <v>263</v>
      </c>
      <c r="D137" s="88" t="s">
        <v>18</v>
      </c>
      <c r="E137" s="177">
        <f>+(3.05+1.19)*2.47-2*0.8*2.05</f>
        <v>7.192800000000002</v>
      </c>
      <c r="F137" s="262"/>
      <c r="G137" s="90">
        <f>E137*F137</f>
        <v>0</v>
      </c>
      <c r="H137" s="127" t="s">
        <v>180</v>
      </c>
      <c r="I137" s="99"/>
      <c r="J137" s="3"/>
    </row>
    <row r="138" spans="1:8" ht="12.75">
      <c r="A138" s="76"/>
      <c r="B138" s="77"/>
      <c r="C138" s="85" t="s">
        <v>319</v>
      </c>
      <c r="D138" s="79"/>
      <c r="E138" s="176"/>
      <c r="F138" s="262"/>
      <c r="G138" s="80"/>
      <c r="H138" s="127"/>
    </row>
    <row r="139" spans="1:10" ht="38.25">
      <c r="A139" s="76">
        <f>+A137+1</f>
        <v>35</v>
      </c>
      <c r="B139" s="77"/>
      <c r="C139" s="82" t="s">
        <v>247</v>
      </c>
      <c r="D139" s="88" t="s">
        <v>18</v>
      </c>
      <c r="E139" s="177">
        <f>0.92*2.47-0.8*2.05+2.39*2.47</f>
        <v>6.535700000000001</v>
      </c>
      <c r="F139" s="262"/>
      <c r="G139" s="90">
        <f>E139*F139</f>
        <v>0</v>
      </c>
      <c r="H139" s="127" t="s">
        <v>180</v>
      </c>
      <c r="I139" s="99"/>
      <c r="J139" s="3"/>
    </row>
    <row r="140" spans="1:10" ht="12.75">
      <c r="A140" s="76"/>
      <c r="B140" s="77"/>
      <c r="C140" s="85" t="s">
        <v>294</v>
      </c>
      <c r="D140" s="79"/>
      <c r="E140" s="176"/>
      <c r="F140" s="262"/>
      <c r="G140" s="80"/>
      <c r="H140" s="127"/>
      <c r="I140" s="99"/>
      <c r="J140" s="100"/>
    </row>
    <row r="141" spans="1:10" ht="12.75">
      <c r="A141" s="76"/>
      <c r="B141" s="77"/>
      <c r="C141" s="85" t="s">
        <v>320</v>
      </c>
      <c r="D141" s="79"/>
      <c r="E141" s="176"/>
      <c r="F141" s="262"/>
      <c r="G141" s="80"/>
      <c r="H141" s="127"/>
      <c r="I141" s="99"/>
      <c r="J141" s="100"/>
    </row>
    <row r="142" spans="1:10" ht="38.25">
      <c r="A142" s="76">
        <f>A139+1</f>
        <v>36</v>
      </c>
      <c r="B142" s="77"/>
      <c r="C142" s="82" t="s">
        <v>295</v>
      </c>
      <c r="D142" s="88" t="s">
        <v>18</v>
      </c>
      <c r="E142" s="177">
        <f>1.125*2.47+(0.88+0.6)*2</f>
        <v>5.73875</v>
      </c>
      <c r="F142" s="262"/>
      <c r="G142" s="90">
        <f>E142*F142</f>
        <v>0</v>
      </c>
      <c r="H142" s="127" t="s">
        <v>180</v>
      </c>
      <c r="I142" s="99"/>
      <c r="J142" s="3"/>
    </row>
    <row r="143" spans="1:10" ht="12.75">
      <c r="A143" s="76"/>
      <c r="B143" s="77"/>
      <c r="C143" s="85" t="s">
        <v>345</v>
      </c>
      <c r="D143" s="79"/>
      <c r="E143" s="176"/>
      <c r="F143" s="262"/>
      <c r="G143" s="80"/>
      <c r="H143" s="127"/>
      <c r="I143" s="99"/>
      <c r="J143" s="100"/>
    </row>
    <row r="144" spans="1:10" ht="38.25">
      <c r="A144" s="76">
        <f>A142+1</f>
        <v>37</v>
      </c>
      <c r="B144" s="77"/>
      <c r="C144" s="82" t="s">
        <v>321</v>
      </c>
      <c r="D144" s="88" t="s">
        <v>18</v>
      </c>
      <c r="E144" s="176">
        <f>0.6*(1.6+0.7)*2</f>
        <v>2.76</v>
      </c>
      <c r="F144" s="262"/>
      <c r="G144" s="80">
        <f>E144*F144</f>
        <v>0</v>
      </c>
      <c r="H144" s="127" t="s">
        <v>180</v>
      </c>
      <c r="J144" s="3"/>
    </row>
    <row r="145" spans="1:10" ht="15.75" customHeight="1">
      <c r="A145" s="76">
        <f>A144+1</f>
        <v>38</v>
      </c>
      <c r="B145" s="87" t="s">
        <v>248</v>
      </c>
      <c r="C145" s="82" t="s">
        <v>264</v>
      </c>
      <c r="D145" s="88" t="s">
        <v>20</v>
      </c>
      <c r="E145" s="177">
        <v>2</v>
      </c>
      <c r="F145" s="262"/>
      <c r="G145" s="90">
        <f>E145*F145</f>
        <v>0</v>
      </c>
      <c r="H145" s="127" t="s">
        <v>180</v>
      </c>
      <c r="J145" s="3"/>
    </row>
    <row r="146" spans="1:8" ht="13.5" thickBot="1">
      <c r="A146" s="3">
        <f>A145+1</f>
        <v>39</v>
      </c>
      <c r="B146" s="77"/>
      <c r="C146" s="101" t="s">
        <v>46</v>
      </c>
      <c r="D146" s="79" t="s">
        <v>26</v>
      </c>
      <c r="E146" s="176">
        <f>SUM(G137:G144)</f>
        <v>0</v>
      </c>
      <c r="F146" s="264"/>
      <c r="G146" s="80">
        <f>E146*F146</f>
        <v>0</v>
      </c>
      <c r="H146" s="127" t="s">
        <v>180</v>
      </c>
    </row>
    <row r="147" spans="1:8" ht="13.5" thickBot="1">
      <c r="A147" s="76"/>
      <c r="B147" s="77"/>
      <c r="C147" s="102" t="s">
        <v>19</v>
      </c>
      <c r="D147" s="103"/>
      <c r="E147" s="179"/>
      <c r="F147" s="265"/>
      <c r="G147" s="94">
        <f>SUBTOTAL(9,G137:G146)</f>
        <v>0</v>
      </c>
      <c r="H147" s="153"/>
    </row>
    <row r="148" spans="1:8" ht="12.75">
      <c r="A148" s="76"/>
      <c r="B148" s="77"/>
      <c r="C148" s="95"/>
      <c r="D148" s="96"/>
      <c r="E148" s="166"/>
      <c r="F148" s="251"/>
      <c r="G148" s="97"/>
      <c r="H148" s="127"/>
    </row>
    <row r="149" spans="1:8" ht="16.5">
      <c r="A149" s="76"/>
      <c r="B149" s="98" t="s">
        <v>36</v>
      </c>
      <c r="C149" s="72" t="s">
        <v>51</v>
      </c>
      <c r="D149" s="72"/>
      <c r="E149" s="72"/>
      <c r="F149" s="261"/>
      <c r="G149" s="72"/>
      <c r="H149" s="127"/>
    </row>
    <row r="150" spans="1:10" ht="15">
      <c r="A150" s="76"/>
      <c r="B150" s="71"/>
      <c r="C150" s="228" t="s">
        <v>502</v>
      </c>
      <c r="D150" s="228"/>
      <c r="E150" s="228"/>
      <c r="F150" s="259"/>
      <c r="G150" s="228"/>
      <c r="H150" s="185"/>
      <c r="J150" s="104"/>
    </row>
    <row r="151" spans="1:10" ht="15">
      <c r="A151" s="76"/>
      <c r="B151" s="71"/>
      <c r="C151" s="229" t="s">
        <v>503</v>
      </c>
      <c r="D151" s="229"/>
      <c r="E151" s="229"/>
      <c r="F151" s="266"/>
      <c r="G151" s="229"/>
      <c r="H151" s="185"/>
      <c r="J151" s="104"/>
    </row>
    <row r="152" spans="1:10" ht="15">
      <c r="A152" s="76"/>
      <c r="B152" s="71"/>
      <c r="C152" s="229" t="s">
        <v>504</v>
      </c>
      <c r="D152" s="229"/>
      <c r="E152" s="229"/>
      <c r="F152" s="266"/>
      <c r="G152" s="229"/>
      <c r="H152" s="185"/>
      <c r="J152" s="104"/>
    </row>
    <row r="153" spans="1:10" ht="15">
      <c r="A153" s="76"/>
      <c r="B153" s="71"/>
      <c r="C153" s="229" t="s">
        <v>505</v>
      </c>
      <c r="D153" s="229"/>
      <c r="E153" s="229"/>
      <c r="F153" s="266"/>
      <c r="G153" s="229"/>
      <c r="H153" s="185"/>
      <c r="J153" s="104"/>
    </row>
    <row r="154" spans="1:10" ht="38.25">
      <c r="A154" s="76">
        <f>A146+1</f>
        <v>40</v>
      </c>
      <c r="B154" s="77" t="s">
        <v>267</v>
      </c>
      <c r="C154" s="78" t="s">
        <v>467</v>
      </c>
      <c r="D154" s="79" t="s">
        <v>18</v>
      </c>
      <c r="E154" s="176">
        <f>5.5+3.7+4</f>
        <v>13.2</v>
      </c>
      <c r="F154" s="262"/>
      <c r="G154" s="80">
        <f>E154*F154</f>
        <v>0</v>
      </c>
      <c r="H154" s="127" t="s">
        <v>180</v>
      </c>
      <c r="J154" s="3"/>
    </row>
    <row r="155" spans="1:10" ht="12.75">
      <c r="A155" s="86"/>
      <c r="B155" s="87"/>
      <c r="C155" s="105" t="s">
        <v>362</v>
      </c>
      <c r="D155" s="88"/>
      <c r="E155" s="177"/>
      <c r="F155" s="262"/>
      <c r="G155" s="90"/>
      <c r="J155" s="3"/>
    </row>
    <row r="156" spans="1:21" s="187" customFormat="1" ht="12.75">
      <c r="A156" s="76">
        <f>A154+1</f>
        <v>41</v>
      </c>
      <c r="B156" s="77"/>
      <c r="C156" s="78" t="s">
        <v>380</v>
      </c>
      <c r="D156" s="79" t="s">
        <v>18</v>
      </c>
      <c r="E156" s="230">
        <f>3.7+4</f>
        <v>7.7</v>
      </c>
      <c r="F156" s="262"/>
      <c r="G156" s="80">
        <f>E156*F156</f>
        <v>0</v>
      </c>
      <c r="H156" s="186" t="s">
        <v>180</v>
      </c>
      <c r="I156" s="5"/>
      <c r="Q156" s="188"/>
      <c r="R156" s="189"/>
      <c r="U156" s="189"/>
    </row>
    <row r="157" spans="1:21" s="187" customFormat="1" ht="12.75">
      <c r="A157" s="76">
        <f>A156+1</f>
        <v>42</v>
      </c>
      <c r="B157" s="77"/>
      <c r="C157" s="78" t="s">
        <v>381</v>
      </c>
      <c r="D157" s="79" t="s">
        <v>18</v>
      </c>
      <c r="E157" s="230">
        <v>5.5</v>
      </c>
      <c r="F157" s="262"/>
      <c r="G157" s="80">
        <f>E157*F157</f>
        <v>0</v>
      </c>
      <c r="H157" s="186" t="s">
        <v>180</v>
      </c>
      <c r="I157" s="5"/>
      <c r="Q157" s="188"/>
      <c r="R157" s="189"/>
      <c r="U157" s="189"/>
    </row>
    <row r="158" spans="1:10" ht="12.75">
      <c r="A158" s="76">
        <f>A157+1</f>
        <v>43</v>
      </c>
      <c r="B158" s="87" t="s">
        <v>361</v>
      </c>
      <c r="C158" s="82" t="s">
        <v>363</v>
      </c>
      <c r="D158" s="88" t="s">
        <v>18</v>
      </c>
      <c r="E158" s="177">
        <f>1.1+(0.35+0.15)*4.17</f>
        <v>3.185</v>
      </c>
      <c r="F158" s="262"/>
      <c r="G158" s="90">
        <f>E158*F158</f>
        <v>0</v>
      </c>
      <c r="H158" s="125" t="s">
        <v>180</v>
      </c>
      <c r="J158" s="3"/>
    </row>
    <row r="159" spans="1:10" ht="12.75">
      <c r="A159" s="86"/>
      <c r="B159" s="87"/>
      <c r="C159" s="105" t="s">
        <v>364</v>
      </c>
      <c r="D159" s="88"/>
      <c r="E159" s="177"/>
      <c r="F159" s="262"/>
      <c r="G159" s="90"/>
      <c r="J159" s="3"/>
    </row>
    <row r="160" spans="1:8" ht="12.75">
      <c r="A160" s="76">
        <f>A158+1</f>
        <v>44</v>
      </c>
      <c r="B160" s="106" t="s">
        <v>167</v>
      </c>
      <c r="C160" s="107" t="s">
        <v>66</v>
      </c>
      <c r="D160" s="108" t="s">
        <v>18</v>
      </c>
      <c r="E160" s="180">
        <f>(3.7+4)*1.1</f>
        <v>8.47</v>
      </c>
      <c r="F160" s="267"/>
      <c r="G160" s="109">
        <f>E160*F160</f>
        <v>0</v>
      </c>
      <c r="H160" s="127" t="s">
        <v>180</v>
      </c>
    </row>
    <row r="161" spans="1:8" ht="12.75">
      <c r="A161" s="76">
        <f>A160+1</f>
        <v>45</v>
      </c>
      <c r="B161" s="106" t="s">
        <v>265</v>
      </c>
      <c r="C161" s="107" t="s">
        <v>266</v>
      </c>
      <c r="D161" s="108" t="s">
        <v>18</v>
      </c>
      <c r="E161" s="181">
        <f>(5.5+(0.35+0.15)*4.17+1.1*1)*1.1</f>
        <v>9.553500000000001</v>
      </c>
      <c r="F161" s="267"/>
      <c r="G161" s="109">
        <f>E161*F161</f>
        <v>0</v>
      </c>
      <c r="H161" s="127" t="s">
        <v>180</v>
      </c>
    </row>
    <row r="162" spans="1:8" ht="25.5">
      <c r="A162" s="76">
        <f>A161+1</f>
        <v>46</v>
      </c>
      <c r="B162" s="77" t="s">
        <v>469</v>
      </c>
      <c r="C162" s="78" t="s">
        <v>221</v>
      </c>
      <c r="D162" s="79" t="s">
        <v>20</v>
      </c>
      <c r="E162" s="176">
        <v>2</v>
      </c>
      <c r="F162" s="262"/>
      <c r="G162" s="80">
        <f>E162*F162</f>
        <v>0</v>
      </c>
      <c r="H162" s="127" t="s">
        <v>180</v>
      </c>
    </row>
    <row r="163" spans="1:10" ht="12.75">
      <c r="A163" s="76">
        <f>A162+1</f>
        <v>47</v>
      </c>
      <c r="B163" s="77" t="s">
        <v>267</v>
      </c>
      <c r="C163" s="78" t="s">
        <v>76</v>
      </c>
      <c r="D163" s="79" t="s">
        <v>18</v>
      </c>
      <c r="E163" s="176">
        <f>+E154</f>
        <v>13.2</v>
      </c>
      <c r="F163" s="262"/>
      <c r="G163" s="80">
        <f>E163*F163</f>
        <v>0</v>
      </c>
      <c r="H163" s="130" t="s">
        <v>180</v>
      </c>
      <c r="J163" s="104"/>
    </row>
    <row r="164" spans="1:8" ht="13.5" thickBot="1">
      <c r="A164" s="76">
        <f>A163+1</f>
        <v>48</v>
      </c>
      <c r="B164" s="77"/>
      <c r="C164" s="78" t="s">
        <v>43</v>
      </c>
      <c r="D164" s="110" t="s">
        <v>26</v>
      </c>
      <c r="E164" s="176">
        <f>SUM(G160:G162)</f>
        <v>0</v>
      </c>
      <c r="F164" s="268"/>
      <c r="G164" s="111">
        <f>E164*F164</f>
        <v>0</v>
      </c>
      <c r="H164" s="127" t="s">
        <v>180</v>
      </c>
    </row>
    <row r="165" spans="1:8" ht="13.5" thickBot="1">
      <c r="A165" s="76"/>
      <c r="B165" s="77"/>
      <c r="C165" s="102" t="s">
        <v>19</v>
      </c>
      <c r="D165" s="103"/>
      <c r="E165" s="179"/>
      <c r="F165" s="265"/>
      <c r="G165" s="94">
        <f>SUBTOTAL(9,G154:G164)</f>
        <v>0</v>
      </c>
      <c r="H165" s="153"/>
    </row>
    <row r="166" spans="1:8" ht="12.75">
      <c r="A166" s="76"/>
      <c r="B166" s="77"/>
      <c r="C166" s="95"/>
      <c r="D166" s="96"/>
      <c r="E166" s="166"/>
      <c r="F166" s="251"/>
      <c r="G166" s="97"/>
      <c r="H166" s="127"/>
    </row>
    <row r="167" spans="1:8" ht="16.5">
      <c r="A167" s="76"/>
      <c r="B167" s="98" t="s">
        <v>37</v>
      </c>
      <c r="C167" s="72" t="s">
        <v>191</v>
      </c>
      <c r="D167" s="72"/>
      <c r="E167" s="72"/>
      <c r="F167" s="261"/>
      <c r="G167" s="72"/>
      <c r="H167" s="127"/>
    </row>
    <row r="168" spans="1:10" ht="12.75">
      <c r="A168" s="76"/>
      <c r="B168" s="77"/>
      <c r="C168" s="229" t="s">
        <v>506</v>
      </c>
      <c r="D168" s="229"/>
      <c r="E168" s="229"/>
      <c r="F168" s="266"/>
      <c r="G168" s="229"/>
      <c r="H168" s="130"/>
      <c r="J168" s="104"/>
    </row>
    <row r="169" spans="1:10" ht="12.75">
      <c r="A169" s="76"/>
      <c r="B169" s="77"/>
      <c r="C169" s="229" t="s">
        <v>507</v>
      </c>
      <c r="D169" s="229"/>
      <c r="E169" s="229"/>
      <c r="F169" s="266"/>
      <c r="G169" s="229"/>
      <c r="H169" s="130"/>
      <c r="J169" s="104"/>
    </row>
    <row r="170" spans="1:10" ht="51">
      <c r="A170" s="76">
        <f>A164+1</f>
        <v>49</v>
      </c>
      <c r="B170" s="77" t="s">
        <v>195</v>
      </c>
      <c r="C170" s="78" t="s">
        <v>268</v>
      </c>
      <c r="D170" s="79" t="s">
        <v>18</v>
      </c>
      <c r="E170" s="176">
        <f>+E102+(2*0.6+1.25*1.5+1.57*2.4-0.27*1.39)+0.15*25</f>
        <v>18.82558</v>
      </c>
      <c r="F170" s="262"/>
      <c r="G170" s="80">
        <f>E170*F170</f>
        <v>0</v>
      </c>
      <c r="H170" s="130" t="s">
        <v>174</v>
      </c>
      <c r="J170" s="83"/>
    </row>
    <row r="171" spans="1:10" ht="25.5">
      <c r="A171" s="76">
        <f>A170+1</f>
        <v>50</v>
      </c>
      <c r="B171" s="77" t="s">
        <v>196</v>
      </c>
      <c r="C171" s="82" t="s">
        <v>443</v>
      </c>
      <c r="D171" s="88" t="s">
        <v>18</v>
      </c>
      <c r="E171" s="176">
        <f>SUM(E172:E177)</f>
        <v>152.81459999999998</v>
      </c>
      <c r="F171" s="262"/>
      <c r="G171" s="90">
        <f>E171*F171</f>
        <v>0</v>
      </c>
      <c r="H171" s="130" t="s">
        <v>174</v>
      </c>
      <c r="J171" s="104"/>
    </row>
    <row r="172" spans="1:10" ht="12.75">
      <c r="A172" s="76"/>
      <c r="B172" s="77"/>
      <c r="C172" s="85" t="s">
        <v>444</v>
      </c>
      <c r="D172" s="79"/>
      <c r="E172" s="217">
        <f>10.22*2.45-(0.8*2.05*2+0.9*2.05*3)</f>
        <v>16.224000000000004</v>
      </c>
      <c r="F172" s="262"/>
      <c r="G172" s="80"/>
      <c r="H172" s="130"/>
      <c r="J172" s="104"/>
    </row>
    <row r="173" spans="1:10" ht="12.75">
      <c r="A173" s="76"/>
      <c r="B173" s="77"/>
      <c r="C173" s="85" t="s">
        <v>438</v>
      </c>
      <c r="D173" s="79"/>
      <c r="E173" s="217">
        <f>8.12*2.45-(0.8*2.05+0.56*1.38)</f>
        <v>17.481199999999998</v>
      </c>
      <c r="F173" s="262"/>
      <c r="G173" s="80"/>
      <c r="H173" s="130"/>
      <c r="J173" s="104"/>
    </row>
    <row r="174" spans="1:10" ht="12.75">
      <c r="A174" s="76"/>
      <c r="B174" s="77"/>
      <c r="C174" s="85" t="s">
        <v>439</v>
      </c>
      <c r="D174" s="88"/>
      <c r="E174" s="217">
        <f>8.1*2.45-(0.8*2.05+0.57*1.38)</f>
        <v>17.4184</v>
      </c>
      <c r="F174" s="262"/>
      <c r="G174" s="90"/>
      <c r="H174" s="130"/>
      <c r="J174" s="104"/>
    </row>
    <row r="175" spans="1:10" ht="12.75">
      <c r="A175" s="76"/>
      <c r="B175" s="77"/>
      <c r="C175" s="85" t="s">
        <v>440</v>
      </c>
      <c r="D175" s="88"/>
      <c r="E175" s="217">
        <f>13.09*2.45-(0.9*2.05+1.32*1.35)+2*0.35</f>
        <v>29.143500000000003</v>
      </c>
      <c r="F175" s="262"/>
      <c r="G175" s="90"/>
      <c r="H175" s="130"/>
      <c r="J175" s="104"/>
    </row>
    <row r="176" spans="1:10" ht="12.75">
      <c r="A176" s="76"/>
      <c r="B176" s="77"/>
      <c r="C176" s="85" t="s">
        <v>441</v>
      </c>
      <c r="D176" s="88"/>
      <c r="E176" s="217">
        <f>15.26*2.45-(0.9*2.05+1.3*1.36)</f>
        <v>33.774</v>
      </c>
      <c r="F176" s="262"/>
      <c r="G176" s="90"/>
      <c r="H176" s="130"/>
      <c r="J176" s="104"/>
    </row>
    <row r="177" spans="1:10" ht="12.75">
      <c r="A177" s="76"/>
      <c r="B177" s="77"/>
      <c r="C177" s="85" t="s">
        <v>442</v>
      </c>
      <c r="D177" s="88"/>
      <c r="E177" s="217">
        <f>18.9*2.45-(0.9*2.05*2+1.33*1.35+0.93*2.2)</f>
        <v>38.7735</v>
      </c>
      <c r="F177" s="262"/>
      <c r="G177" s="90"/>
      <c r="H177" s="130"/>
      <c r="J177" s="104"/>
    </row>
    <row r="178" spans="1:10" ht="25.5">
      <c r="A178" s="76">
        <f>A171+1</f>
        <v>51</v>
      </c>
      <c r="B178" s="77"/>
      <c r="C178" s="82" t="s">
        <v>382</v>
      </c>
      <c r="D178" s="88" t="s">
        <v>18</v>
      </c>
      <c r="E178" s="177">
        <f>SUM(E179:E184)</f>
        <v>117.915</v>
      </c>
      <c r="F178" s="262"/>
      <c r="G178" s="90">
        <f>E178*F178</f>
        <v>0</v>
      </c>
      <c r="H178" s="130" t="s">
        <v>174</v>
      </c>
      <c r="J178" s="104"/>
    </row>
    <row r="179" spans="1:10" ht="12.75">
      <c r="A179" s="76"/>
      <c r="B179" s="77"/>
      <c r="C179" s="85" t="s">
        <v>445</v>
      </c>
      <c r="D179" s="79"/>
      <c r="E179" s="217">
        <f>E172</f>
        <v>16.224000000000004</v>
      </c>
      <c r="F179" s="262"/>
      <c r="G179" s="80"/>
      <c r="H179" s="130"/>
      <c r="J179" s="104"/>
    </row>
    <row r="180" spans="1:10" ht="12.75">
      <c r="A180" s="76"/>
      <c r="B180" s="77"/>
      <c r="C180" s="85" t="s">
        <v>296</v>
      </c>
      <c r="D180" s="79"/>
      <c r="E180" s="217">
        <v>0</v>
      </c>
      <c r="F180" s="262"/>
      <c r="G180" s="80"/>
      <c r="H180" s="130"/>
      <c r="J180" s="104"/>
    </row>
    <row r="181" spans="1:10" ht="12.75">
      <c r="A181" s="76"/>
      <c r="B181" s="77"/>
      <c r="C181" s="85" t="s">
        <v>297</v>
      </c>
      <c r="D181" s="79"/>
      <c r="E181" s="217">
        <v>0</v>
      </c>
      <c r="F181" s="262"/>
      <c r="G181" s="80"/>
      <c r="H181" s="130"/>
      <c r="J181" s="104"/>
    </row>
    <row r="182" spans="1:10" ht="12.75">
      <c r="A182" s="76"/>
      <c r="B182" s="77"/>
      <c r="C182" s="85" t="s">
        <v>446</v>
      </c>
      <c r="D182" s="79"/>
      <c r="E182" s="217">
        <f>E175</f>
        <v>29.143500000000003</v>
      </c>
      <c r="F182" s="262"/>
      <c r="G182" s="80"/>
      <c r="H182" s="130"/>
      <c r="J182" s="104"/>
    </row>
    <row r="183" spans="1:10" ht="12.75">
      <c r="A183" s="76"/>
      <c r="B183" s="77"/>
      <c r="C183" s="85" t="s">
        <v>447</v>
      </c>
      <c r="D183" s="79"/>
      <c r="E183" s="217">
        <f>E176</f>
        <v>33.774</v>
      </c>
      <c r="F183" s="262"/>
      <c r="G183" s="80"/>
      <c r="H183" s="130"/>
      <c r="J183" s="104"/>
    </row>
    <row r="184" spans="1:10" ht="12.75">
      <c r="A184" s="76"/>
      <c r="B184" s="77"/>
      <c r="C184" s="85" t="s">
        <v>448</v>
      </c>
      <c r="D184" s="79"/>
      <c r="E184" s="217">
        <f>E177</f>
        <v>38.7735</v>
      </c>
      <c r="F184" s="262"/>
      <c r="G184" s="80"/>
      <c r="H184" s="130"/>
      <c r="J184" s="104"/>
    </row>
    <row r="185" spans="1:8" ht="25.5">
      <c r="A185" s="76">
        <f>A178+1</f>
        <v>52</v>
      </c>
      <c r="B185" s="77"/>
      <c r="C185" s="78" t="s">
        <v>200</v>
      </c>
      <c r="D185" s="79" t="s">
        <v>18</v>
      </c>
      <c r="E185" s="176">
        <f>SUM(E186:E191)</f>
        <v>172.1576</v>
      </c>
      <c r="F185" s="262"/>
      <c r="G185" s="80">
        <f aca="true" t="shared" si="4" ref="G185:G218">E185*F185</f>
        <v>0</v>
      </c>
      <c r="H185" s="127" t="s">
        <v>174</v>
      </c>
    </row>
    <row r="186" spans="1:8" ht="12.75">
      <c r="A186" s="76"/>
      <c r="B186" s="77"/>
      <c r="C186" s="85" t="s">
        <v>452</v>
      </c>
      <c r="D186" s="79"/>
      <c r="E186" s="217">
        <f>7.24*2.35-(0.9*2.05*3)+5.55</f>
        <v>17.029000000000003</v>
      </c>
      <c r="F186" s="262"/>
      <c r="G186" s="80"/>
      <c r="H186" s="127"/>
    </row>
    <row r="187" spans="1:8" ht="12.75">
      <c r="A187" s="76"/>
      <c r="B187" s="77"/>
      <c r="C187" s="85" t="s">
        <v>453</v>
      </c>
      <c r="D187" s="79"/>
      <c r="E187" s="217">
        <f>(1.425+0.525)*2.35-0.56*1.38</f>
        <v>3.8097000000000003</v>
      </c>
      <c r="F187" s="262"/>
      <c r="G187" s="80"/>
      <c r="H187" s="127"/>
    </row>
    <row r="188" spans="1:8" ht="12.75">
      <c r="A188" s="76"/>
      <c r="B188" s="77"/>
      <c r="C188" s="85" t="s">
        <v>454</v>
      </c>
      <c r="D188" s="79"/>
      <c r="E188" s="217">
        <f>4.01*2.35-(0.57*1.38)</f>
        <v>8.6369</v>
      </c>
      <c r="F188" s="262"/>
      <c r="G188" s="80"/>
      <c r="H188" s="127"/>
    </row>
    <row r="189" spans="1:8" ht="12.75">
      <c r="A189" s="76"/>
      <c r="B189" s="77"/>
      <c r="C189" s="85" t="s">
        <v>449</v>
      </c>
      <c r="D189" s="79"/>
      <c r="E189" s="217">
        <f>29.114-(0.35*2+0.62)*2+9.9</f>
        <v>36.374</v>
      </c>
      <c r="F189" s="262"/>
      <c r="G189" s="80"/>
      <c r="H189" s="127"/>
    </row>
    <row r="190" spans="1:8" ht="12.75">
      <c r="A190" s="76"/>
      <c r="B190" s="77"/>
      <c r="C190" s="85" t="s">
        <v>450</v>
      </c>
      <c r="D190" s="79"/>
      <c r="E190" s="217">
        <f>33.774-0.86*2+14.5</f>
        <v>46.554</v>
      </c>
      <c r="F190" s="262"/>
      <c r="G190" s="80"/>
      <c r="H190" s="127"/>
    </row>
    <row r="191" spans="1:8" ht="12.75">
      <c r="A191" s="76"/>
      <c r="B191" s="77"/>
      <c r="C191" s="85" t="s">
        <v>451</v>
      </c>
      <c r="D191" s="79"/>
      <c r="E191" s="217">
        <f>38.774-0.86*2+22.7</f>
        <v>59.754000000000005</v>
      </c>
      <c r="F191" s="262"/>
      <c r="G191" s="80"/>
      <c r="H191" s="127"/>
    </row>
    <row r="192" spans="1:8" ht="12.75">
      <c r="A192" s="76">
        <f>A185+1</f>
        <v>53</v>
      </c>
      <c r="B192" s="77" t="s">
        <v>299</v>
      </c>
      <c r="C192" s="78" t="s">
        <v>466</v>
      </c>
      <c r="D192" s="79" t="s">
        <v>18</v>
      </c>
      <c r="E192" s="176">
        <f>E171-E193</f>
        <v>115.20299999999999</v>
      </c>
      <c r="F192" s="262"/>
      <c r="G192" s="80">
        <f>E192*F192</f>
        <v>0</v>
      </c>
      <c r="H192" s="127" t="s">
        <v>174</v>
      </c>
    </row>
    <row r="193" spans="1:8" ht="12.75">
      <c r="A193" s="76">
        <f>A192+1</f>
        <v>54</v>
      </c>
      <c r="B193" s="77" t="s">
        <v>298</v>
      </c>
      <c r="C193" s="78" t="s">
        <v>383</v>
      </c>
      <c r="D193" s="79" t="s">
        <v>18</v>
      </c>
      <c r="E193" s="176">
        <f>SUM(E195:E197)</f>
        <v>37.611599999999996</v>
      </c>
      <c r="F193" s="262"/>
      <c r="G193" s="80">
        <f t="shared" si="4"/>
        <v>0</v>
      </c>
      <c r="H193" s="127" t="s">
        <v>174</v>
      </c>
    </row>
    <row r="194" spans="1:8" ht="12.75">
      <c r="A194" s="76"/>
      <c r="B194" s="77"/>
      <c r="C194" s="85" t="s">
        <v>457</v>
      </c>
      <c r="D194" s="79"/>
      <c r="E194" s="217">
        <f>(10.22-0.8*2-0.9*3)*0.08</f>
        <v>0.4736000000000001</v>
      </c>
      <c r="F194" s="262"/>
      <c r="G194" s="80"/>
      <c r="H194" s="185"/>
    </row>
    <row r="195" spans="1:8" ht="12.75">
      <c r="A195" s="76"/>
      <c r="B195" s="77"/>
      <c r="C195" s="85" t="s">
        <v>455</v>
      </c>
      <c r="D195" s="79"/>
      <c r="E195" s="217">
        <f>E173</f>
        <v>17.481199999999998</v>
      </c>
      <c r="F195" s="262"/>
      <c r="G195" s="80"/>
      <c r="H195" s="127"/>
    </row>
    <row r="196" spans="1:8" ht="12.75">
      <c r="A196" s="76"/>
      <c r="B196" s="77"/>
      <c r="C196" s="85" t="s">
        <v>456</v>
      </c>
      <c r="D196" s="79"/>
      <c r="E196" s="217">
        <f>E174</f>
        <v>17.4184</v>
      </c>
      <c r="F196" s="262"/>
      <c r="G196" s="80"/>
      <c r="H196" s="127"/>
    </row>
    <row r="197" spans="1:8" ht="12.75">
      <c r="A197" s="76"/>
      <c r="B197" s="77"/>
      <c r="C197" s="85" t="s">
        <v>461</v>
      </c>
      <c r="D197" s="79"/>
      <c r="E197" s="217">
        <f>4.52*0.6</f>
        <v>2.7119999999999997</v>
      </c>
      <c r="F197" s="262"/>
      <c r="G197" s="80"/>
      <c r="H197" s="127"/>
    </row>
    <row r="198" spans="1:8" ht="25.5">
      <c r="A198" s="76">
        <f>A193+1</f>
        <v>55</v>
      </c>
      <c r="B198" s="77" t="s">
        <v>198</v>
      </c>
      <c r="C198" s="78" t="s">
        <v>272</v>
      </c>
      <c r="D198" s="79" t="s">
        <v>18</v>
      </c>
      <c r="E198" s="176">
        <f>SUM(E195:E197)</f>
        <v>37.611599999999996</v>
      </c>
      <c r="F198" s="262"/>
      <c r="G198" s="80">
        <f t="shared" si="4"/>
        <v>0</v>
      </c>
      <c r="H198" s="127" t="s">
        <v>174</v>
      </c>
    </row>
    <row r="199" spans="1:8" ht="12.75">
      <c r="A199" s="76">
        <f>A198+1</f>
        <v>56</v>
      </c>
      <c r="B199" s="106" t="s">
        <v>199</v>
      </c>
      <c r="C199" s="107" t="s">
        <v>458</v>
      </c>
      <c r="D199" s="108" t="s">
        <v>18</v>
      </c>
      <c r="E199" s="231">
        <f>E198*1.1</f>
        <v>41.37276</v>
      </c>
      <c r="F199" s="267"/>
      <c r="G199" s="109">
        <f t="shared" si="4"/>
        <v>0</v>
      </c>
      <c r="H199" s="127" t="s">
        <v>174</v>
      </c>
    </row>
    <row r="200" spans="1:8" ht="12.75">
      <c r="A200" s="76">
        <f>A199+1</f>
        <v>57</v>
      </c>
      <c r="B200" s="77" t="s">
        <v>198</v>
      </c>
      <c r="C200" s="78" t="s">
        <v>460</v>
      </c>
      <c r="D200" s="79" t="s">
        <v>21</v>
      </c>
      <c r="E200" s="176">
        <f>SUM(E201:E203)</f>
        <v>12.2</v>
      </c>
      <c r="F200" s="262"/>
      <c r="G200" s="80">
        <f t="shared" si="4"/>
        <v>0</v>
      </c>
      <c r="H200" s="127" t="s">
        <v>174</v>
      </c>
    </row>
    <row r="201" spans="1:8" ht="12.75">
      <c r="A201" s="76"/>
      <c r="B201" s="77"/>
      <c r="C201" s="85" t="s">
        <v>463</v>
      </c>
      <c r="D201" s="79"/>
      <c r="E201" s="217">
        <f>2.3*2+0.56*2+1.38</f>
        <v>7.1</v>
      </c>
      <c r="F201" s="262"/>
      <c r="G201" s="80"/>
      <c r="H201" s="127"/>
    </row>
    <row r="202" spans="1:8" ht="12.75">
      <c r="A202" s="76"/>
      <c r="B202" s="77"/>
      <c r="C202" s="85" t="s">
        <v>462</v>
      </c>
      <c r="D202" s="79"/>
      <c r="E202" s="217">
        <f>0.57*2+1.38*2</f>
        <v>3.8999999999999995</v>
      </c>
      <c r="F202" s="262"/>
      <c r="G202" s="80"/>
      <c r="H202" s="127"/>
    </row>
    <row r="203" spans="1:8" ht="12.75">
      <c r="A203" s="76"/>
      <c r="B203" s="77"/>
      <c r="C203" s="85" t="s">
        <v>464</v>
      </c>
      <c r="D203" s="79"/>
      <c r="E203" s="217">
        <f>0.6*2</f>
        <v>1.2</v>
      </c>
      <c r="F203" s="262"/>
      <c r="G203" s="80"/>
      <c r="H203" s="127"/>
    </row>
    <row r="204" spans="1:8" ht="12.75">
      <c r="A204" s="76">
        <f>A200+1</f>
        <v>58</v>
      </c>
      <c r="B204" s="106" t="s">
        <v>199</v>
      </c>
      <c r="C204" s="107" t="s">
        <v>459</v>
      </c>
      <c r="D204" s="108" t="s">
        <v>21</v>
      </c>
      <c r="E204" s="231">
        <f>E200*1.1</f>
        <v>13.42</v>
      </c>
      <c r="F204" s="267"/>
      <c r="G204" s="109">
        <f t="shared" si="4"/>
        <v>0</v>
      </c>
      <c r="H204" s="127" t="s">
        <v>174</v>
      </c>
    </row>
    <row r="205" spans="1:8" ht="12.75">
      <c r="A205" s="76">
        <f>A204+1</f>
        <v>59</v>
      </c>
      <c r="B205" s="77" t="s">
        <v>470</v>
      </c>
      <c r="C205" s="78" t="s">
        <v>52</v>
      </c>
      <c r="D205" s="79" t="s">
        <v>20</v>
      </c>
      <c r="E205" s="176">
        <f>+E206+E207</f>
        <v>3</v>
      </c>
      <c r="F205" s="262"/>
      <c r="G205" s="80">
        <f t="shared" si="4"/>
        <v>0</v>
      </c>
      <c r="H205" s="127" t="s">
        <v>180</v>
      </c>
    </row>
    <row r="206" spans="1:8" ht="38.25">
      <c r="A206" s="76">
        <f aca="true" t="shared" si="5" ref="A206:A218">A205+1</f>
        <v>60</v>
      </c>
      <c r="B206" s="106" t="s">
        <v>471</v>
      </c>
      <c r="C206" s="112" t="s">
        <v>215</v>
      </c>
      <c r="D206" s="113" t="s">
        <v>20</v>
      </c>
      <c r="E206" s="181">
        <v>1</v>
      </c>
      <c r="F206" s="267"/>
      <c r="G206" s="114">
        <f t="shared" si="4"/>
        <v>0</v>
      </c>
      <c r="H206" s="127" t="s">
        <v>180</v>
      </c>
    </row>
    <row r="207" spans="1:8" ht="25.5">
      <c r="A207" s="76">
        <f t="shared" si="5"/>
        <v>61</v>
      </c>
      <c r="B207" s="106" t="s">
        <v>472</v>
      </c>
      <c r="C207" s="112" t="s">
        <v>336</v>
      </c>
      <c r="D207" s="113" t="s">
        <v>20</v>
      </c>
      <c r="E207" s="181">
        <v>2</v>
      </c>
      <c r="F207" s="267"/>
      <c r="G207" s="114">
        <f t="shared" si="4"/>
        <v>0</v>
      </c>
      <c r="H207" s="127" t="s">
        <v>180</v>
      </c>
    </row>
    <row r="208" spans="1:8" ht="25.5">
      <c r="A208" s="76">
        <f t="shared" si="5"/>
        <v>62</v>
      </c>
      <c r="B208" s="77" t="s">
        <v>198</v>
      </c>
      <c r="C208" s="78" t="s">
        <v>60</v>
      </c>
      <c r="D208" s="79" t="s">
        <v>18</v>
      </c>
      <c r="E208" s="176">
        <f>E209</f>
        <v>5.9455</v>
      </c>
      <c r="F208" s="262"/>
      <c r="G208" s="80">
        <f t="shared" si="4"/>
        <v>0</v>
      </c>
      <c r="H208" s="127" t="s">
        <v>174</v>
      </c>
    </row>
    <row r="209" spans="1:8" ht="12.75">
      <c r="A209" s="76"/>
      <c r="B209" s="77"/>
      <c r="C209" s="85" t="s">
        <v>465</v>
      </c>
      <c r="D209" s="217"/>
      <c r="E209" s="217">
        <f>2.53*2.35</f>
        <v>5.9455</v>
      </c>
      <c r="F209" s="262"/>
      <c r="G209" s="80"/>
      <c r="H209" s="127"/>
    </row>
    <row r="210" spans="1:8" ht="12.75">
      <c r="A210" s="76">
        <f>A208+1</f>
        <v>63</v>
      </c>
      <c r="B210" s="106" t="s">
        <v>199</v>
      </c>
      <c r="C210" s="107" t="s">
        <v>65</v>
      </c>
      <c r="D210" s="108" t="s">
        <v>30</v>
      </c>
      <c r="E210" s="180">
        <f>+E208*1.5</f>
        <v>8.91825</v>
      </c>
      <c r="F210" s="267"/>
      <c r="G210" s="109">
        <f t="shared" si="4"/>
        <v>0</v>
      </c>
      <c r="H210" s="127" t="s">
        <v>174</v>
      </c>
    </row>
    <row r="211" spans="1:21" s="187" customFormat="1" ht="12.75">
      <c r="A211" s="76">
        <f t="shared" si="5"/>
        <v>64</v>
      </c>
      <c r="B211" s="77" t="s">
        <v>62</v>
      </c>
      <c r="C211" s="78" t="s">
        <v>384</v>
      </c>
      <c r="D211" s="79" t="s">
        <v>21</v>
      </c>
      <c r="E211" s="176">
        <v>2.35</v>
      </c>
      <c r="F211" s="262"/>
      <c r="G211" s="80">
        <f t="shared" si="4"/>
        <v>0</v>
      </c>
      <c r="H211" s="186" t="s">
        <v>174</v>
      </c>
      <c r="I211" s="190"/>
      <c r="N211" s="191"/>
      <c r="Q211" s="188"/>
      <c r="R211" s="189"/>
      <c r="U211" s="189"/>
    </row>
    <row r="212" spans="1:8" ht="25.5">
      <c r="A212" s="76">
        <f t="shared" si="5"/>
        <v>65</v>
      </c>
      <c r="B212" s="106" t="s">
        <v>199</v>
      </c>
      <c r="C212" s="107" t="s">
        <v>193</v>
      </c>
      <c r="D212" s="108" t="s">
        <v>21</v>
      </c>
      <c r="E212" s="180">
        <f>E211</f>
        <v>2.35</v>
      </c>
      <c r="F212" s="267"/>
      <c r="G212" s="109">
        <f t="shared" si="4"/>
        <v>0</v>
      </c>
      <c r="H212" s="127" t="s">
        <v>174</v>
      </c>
    </row>
    <row r="213" spans="1:10" ht="12.75">
      <c r="A213" s="76">
        <f t="shared" si="5"/>
        <v>66</v>
      </c>
      <c r="B213" s="77" t="s">
        <v>197</v>
      </c>
      <c r="C213" s="78" t="s">
        <v>171</v>
      </c>
      <c r="D213" s="79" t="s">
        <v>18</v>
      </c>
      <c r="E213" s="176">
        <f>E192</f>
        <v>115.20299999999999</v>
      </c>
      <c r="F213" s="262"/>
      <c r="G213" s="80">
        <f t="shared" si="4"/>
        <v>0</v>
      </c>
      <c r="H213" s="127" t="s">
        <v>174</v>
      </c>
      <c r="J213" s="104"/>
    </row>
    <row r="214" spans="1:10" ht="12.75">
      <c r="A214" s="76">
        <f t="shared" si="5"/>
        <v>67</v>
      </c>
      <c r="B214" s="77"/>
      <c r="C214" s="78" t="s">
        <v>172</v>
      </c>
      <c r="D214" s="79" t="s">
        <v>18</v>
      </c>
      <c r="E214" s="176">
        <f>9.9+14.5+22.7+4+3.7+5.5</f>
        <v>60.3</v>
      </c>
      <c r="F214" s="262"/>
      <c r="G214" s="80">
        <f t="shared" si="4"/>
        <v>0</v>
      </c>
      <c r="H214" s="185" t="s">
        <v>174</v>
      </c>
      <c r="J214" s="104"/>
    </row>
    <row r="215" spans="1:10" ht="12.75">
      <c r="A215" s="76">
        <f t="shared" si="5"/>
        <v>68</v>
      </c>
      <c r="B215" s="77"/>
      <c r="C215" s="78" t="s">
        <v>190</v>
      </c>
      <c r="D215" s="79" t="s">
        <v>17</v>
      </c>
      <c r="E215" s="176">
        <v>1</v>
      </c>
      <c r="F215" s="262"/>
      <c r="G215" s="80">
        <f t="shared" si="4"/>
        <v>0</v>
      </c>
      <c r="H215" s="127" t="s">
        <v>174</v>
      </c>
      <c r="J215" s="104"/>
    </row>
    <row r="216" spans="1:10" ht="38.25">
      <c r="A216" s="76">
        <f t="shared" si="5"/>
        <v>69</v>
      </c>
      <c r="B216" s="77" t="s">
        <v>206</v>
      </c>
      <c r="C216" s="78" t="s">
        <v>285</v>
      </c>
      <c r="D216" s="79" t="s">
        <v>21</v>
      </c>
      <c r="E216" s="176">
        <f>1.7+2.43+2.1</f>
        <v>6.23</v>
      </c>
      <c r="F216" s="262"/>
      <c r="G216" s="80">
        <f t="shared" si="4"/>
        <v>0</v>
      </c>
      <c r="H216" s="127" t="s">
        <v>174</v>
      </c>
      <c r="J216" s="104"/>
    </row>
    <row r="217" spans="1:10" ht="38.25">
      <c r="A217" s="76">
        <f t="shared" si="5"/>
        <v>70</v>
      </c>
      <c r="B217" s="77" t="s">
        <v>270</v>
      </c>
      <c r="C217" s="82" t="s">
        <v>287</v>
      </c>
      <c r="D217" s="79" t="s">
        <v>17</v>
      </c>
      <c r="E217" s="176">
        <v>1</v>
      </c>
      <c r="F217" s="262"/>
      <c r="G217" s="80">
        <f t="shared" si="4"/>
        <v>0</v>
      </c>
      <c r="H217" s="127" t="s">
        <v>174</v>
      </c>
      <c r="J217" s="104"/>
    </row>
    <row r="218" spans="1:8" ht="13.5" thickBot="1">
      <c r="A218" s="76">
        <f t="shared" si="5"/>
        <v>71</v>
      </c>
      <c r="B218" s="77"/>
      <c r="C218" s="101" t="s">
        <v>46</v>
      </c>
      <c r="D218" s="79" t="s">
        <v>26</v>
      </c>
      <c r="E218" s="176">
        <f>+G170+G171+G199+G204+G206+G210+G212+G192+G213+G214+G215+G216++G193+G178+G217+G207</f>
        <v>0</v>
      </c>
      <c r="F218" s="264"/>
      <c r="G218" s="80">
        <f t="shared" si="4"/>
        <v>0</v>
      </c>
      <c r="H218" s="127" t="s">
        <v>174</v>
      </c>
    </row>
    <row r="219" spans="1:8" ht="13.5" thickBot="1">
      <c r="A219" s="76"/>
      <c r="B219" s="77"/>
      <c r="C219" s="102" t="s">
        <v>19</v>
      </c>
      <c r="D219" s="103"/>
      <c r="E219" s="179"/>
      <c r="F219" s="265"/>
      <c r="G219" s="94">
        <f>SUBTOTAL(9,G170:G218)</f>
        <v>0</v>
      </c>
      <c r="H219" s="153"/>
    </row>
    <row r="220" spans="1:8" ht="12.75">
      <c r="A220" s="76"/>
      <c r="B220" s="77"/>
      <c r="C220" s="95"/>
      <c r="D220" s="96"/>
      <c r="E220" s="166"/>
      <c r="F220" s="251"/>
      <c r="G220" s="97"/>
      <c r="H220" s="127"/>
    </row>
    <row r="221" spans="1:8" ht="16.5">
      <c r="A221" s="76"/>
      <c r="B221" s="98" t="s">
        <v>38</v>
      </c>
      <c r="C221" s="72" t="s">
        <v>53</v>
      </c>
      <c r="D221" s="72"/>
      <c r="E221" s="182"/>
      <c r="F221" s="261"/>
      <c r="G221" s="72"/>
      <c r="H221" s="127"/>
    </row>
    <row r="222" spans="1:8" ht="15">
      <c r="A222" s="76"/>
      <c r="B222" s="71"/>
      <c r="C222" s="229" t="s">
        <v>508</v>
      </c>
      <c r="D222" s="229"/>
      <c r="E222" s="229"/>
      <c r="F222" s="266"/>
      <c r="G222" s="229"/>
      <c r="H222" s="127"/>
    </row>
    <row r="223" spans="1:8" ht="15">
      <c r="A223" s="76"/>
      <c r="B223" s="71"/>
      <c r="C223" s="229" t="s">
        <v>509</v>
      </c>
      <c r="D223" s="229"/>
      <c r="E223" s="229"/>
      <c r="F223" s="266"/>
      <c r="G223" s="229"/>
      <c r="H223" s="127"/>
    </row>
    <row r="224" spans="1:8" ht="15">
      <c r="A224" s="76"/>
      <c r="B224" s="71"/>
      <c r="C224" s="229" t="s">
        <v>510</v>
      </c>
      <c r="D224" s="229"/>
      <c r="E224" s="229"/>
      <c r="F224" s="266"/>
      <c r="G224" s="229"/>
      <c r="H224" s="127"/>
    </row>
    <row r="225" spans="1:8" ht="15">
      <c r="A225" s="76"/>
      <c r="B225" s="71"/>
      <c r="C225" s="229" t="s">
        <v>511</v>
      </c>
      <c r="D225" s="229"/>
      <c r="E225" s="229"/>
      <c r="F225" s="266"/>
      <c r="G225" s="229"/>
      <c r="H225" s="127"/>
    </row>
    <row r="226" spans="1:8" ht="12.75">
      <c r="A226" s="76">
        <f>A218+1</f>
        <v>72</v>
      </c>
      <c r="B226" s="77" t="s">
        <v>28</v>
      </c>
      <c r="C226" s="115" t="s">
        <v>67</v>
      </c>
      <c r="D226" s="79" t="s">
        <v>21</v>
      </c>
      <c r="E226" s="176">
        <f>6.4+3.6+1.5</f>
        <v>11.5</v>
      </c>
      <c r="F226" s="262"/>
      <c r="G226" s="80">
        <f aca="true" t="shared" si="6" ref="G226:G241">E226*F226</f>
        <v>0</v>
      </c>
      <c r="H226" s="127" t="s">
        <v>174</v>
      </c>
    </row>
    <row r="227" spans="1:8" ht="12.75">
      <c r="A227" s="76">
        <f aca="true" t="shared" si="7" ref="A227:A241">A226+1</f>
        <v>73</v>
      </c>
      <c r="B227" s="77" t="s">
        <v>28</v>
      </c>
      <c r="C227" s="115" t="s">
        <v>68</v>
      </c>
      <c r="D227" s="79" t="s">
        <v>21</v>
      </c>
      <c r="E227" s="176">
        <v>3</v>
      </c>
      <c r="F227" s="262"/>
      <c r="G227" s="80">
        <f t="shared" si="6"/>
        <v>0</v>
      </c>
      <c r="H227" s="127" t="s">
        <v>174</v>
      </c>
    </row>
    <row r="228" spans="1:8" ht="12.75">
      <c r="A228" s="76">
        <f t="shared" si="7"/>
        <v>74</v>
      </c>
      <c r="B228" s="77" t="s">
        <v>28</v>
      </c>
      <c r="C228" s="115" t="s">
        <v>69</v>
      </c>
      <c r="D228" s="79" t="s">
        <v>21</v>
      </c>
      <c r="E228" s="176">
        <v>0.5</v>
      </c>
      <c r="F228" s="262"/>
      <c r="G228" s="80">
        <f t="shared" si="6"/>
        <v>0</v>
      </c>
      <c r="H228" s="127" t="s">
        <v>174</v>
      </c>
    </row>
    <row r="229" spans="1:8" ht="12.75">
      <c r="A229" s="76">
        <f t="shared" si="7"/>
        <v>75</v>
      </c>
      <c r="B229" s="77" t="s">
        <v>28</v>
      </c>
      <c r="C229" s="115" t="s">
        <v>82</v>
      </c>
      <c r="D229" s="79" t="s">
        <v>20</v>
      </c>
      <c r="E229" s="176">
        <v>3</v>
      </c>
      <c r="F229" s="262"/>
      <c r="G229" s="80">
        <f t="shared" si="6"/>
        <v>0</v>
      </c>
      <c r="H229" s="127" t="s">
        <v>174</v>
      </c>
    </row>
    <row r="230" spans="1:8" ht="12.75">
      <c r="A230" s="76">
        <f t="shared" si="7"/>
        <v>76</v>
      </c>
      <c r="B230" s="77" t="s">
        <v>28</v>
      </c>
      <c r="C230" s="115" t="s">
        <v>72</v>
      </c>
      <c r="D230" s="79" t="s">
        <v>20</v>
      </c>
      <c r="E230" s="176">
        <v>9</v>
      </c>
      <c r="F230" s="262"/>
      <c r="G230" s="80">
        <f t="shared" si="6"/>
        <v>0</v>
      </c>
      <c r="H230" s="127" t="s">
        <v>174</v>
      </c>
    </row>
    <row r="231" spans="1:8" ht="12.75">
      <c r="A231" s="76">
        <f t="shared" si="7"/>
        <v>77</v>
      </c>
      <c r="B231" s="77" t="s">
        <v>28</v>
      </c>
      <c r="C231" s="115" t="s">
        <v>0</v>
      </c>
      <c r="D231" s="79" t="s">
        <v>20</v>
      </c>
      <c r="E231" s="176">
        <v>2</v>
      </c>
      <c r="F231" s="262"/>
      <c r="G231" s="80">
        <f t="shared" si="6"/>
        <v>0</v>
      </c>
      <c r="H231" s="127" t="s">
        <v>174</v>
      </c>
    </row>
    <row r="232" spans="1:8" ht="12.75">
      <c r="A232" s="76">
        <f t="shared" si="7"/>
        <v>78</v>
      </c>
      <c r="B232" s="77" t="s">
        <v>28</v>
      </c>
      <c r="C232" s="115" t="s">
        <v>70</v>
      </c>
      <c r="D232" s="79" t="s">
        <v>20</v>
      </c>
      <c r="E232" s="176">
        <v>2</v>
      </c>
      <c r="F232" s="262"/>
      <c r="G232" s="80">
        <f t="shared" si="6"/>
        <v>0</v>
      </c>
      <c r="H232" s="127" t="s">
        <v>174</v>
      </c>
    </row>
    <row r="233" spans="1:8" ht="12.75">
      <c r="A233" s="76">
        <f t="shared" si="7"/>
        <v>79</v>
      </c>
      <c r="B233" s="77" t="s">
        <v>28</v>
      </c>
      <c r="C233" s="101" t="s">
        <v>168</v>
      </c>
      <c r="D233" s="79" t="s">
        <v>20</v>
      </c>
      <c r="E233" s="176">
        <v>4</v>
      </c>
      <c r="F233" s="262"/>
      <c r="G233" s="80">
        <f t="shared" si="6"/>
        <v>0</v>
      </c>
      <c r="H233" s="127" t="s">
        <v>174</v>
      </c>
    </row>
    <row r="234" spans="1:8" ht="12.75">
      <c r="A234" s="76">
        <f t="shared" si="7"/>
        <v>80</v>
      </c>
      <c r="B234" s="77" t="s">
        <v>28</v>
      </c>
      <c r="C234" s="115" t="s">
        <v>71</v>
      </c>
      <c r="D234" s="79" t="s">
        <v>20</v>
      </c>
      <c r="E234" s="176">
        <v>1</v>
      </c>
      <c r="F234" s="262"/>
      <c r="G234" s="80">
        <f t="shared" si="6"/>
        <v>0</v>
      </c>
      <c r="H234" s="127" t="s">
        <v>174</v>
      </c>
    </row>
    <row r="235" spans="1:8" ht="12.75">
      <c r="A235" s="76">
        <f t="shared" si="7"/>
        <v>81</v>
      </c>
      <c r="B235" s="77" t="s">
        <v>28</v>
      </c>
      <c r="C235" s="101" t="s">
        <v>300</v>
      </c>
      <c r="D235" s="79" t="s">
        <v>20</v>
      </c>
      <c r="E235" s="176">
        <v>1</v>
      </c>
      <c r="F235" s="262"/>
      <c r="G235" s="80">
        <f t="shared" si="6"/>
        <v>0</v>
      </c>
      <c r="H235" s="127" t="s">
        <v>174</v>
      </c>
    </row>
    <row r="236" spans="1:18" s="51" customFormat="1" ht="25.5">
      <c r="A236" s="76">
        <f t="shared" si="7"/>
        <v>82</v>
      </c>
      <c r="B236" s="87" t="s">
        <v>28</v>
      </c>
      <c r="C236" s="116" t="s">
        <v>334</v>
      </c>
      <c r="D236" s="88" t="s">
        <v>20</v>
      </c>
      <c r="E236" s="177">
        <v>1</v>
      </c>
      <c r="F236" s="262"/>
      <c r="G236" s="90">
        <f t="shared" si="6"/>
        <v>0</v>
      </c>
      <c r="H236" s="125" t="s">
        <v>174</v>
      </c>
      <c r="I236" s="5"/>
      <c r="R236" s="131"/>
    </row>
    <row r="237" spans="1:8" ht="12.75">
      <c r="A237" s="76">
        <f t="shared" si="7"/>
        <v>83</v>
      </c>
      <c r="B237" s="77" t="s">
        <v>29</v>
      </c>
      <c r="C237" s="115" t="s">
        <v>73</v>
      </c>
      <c r="D237" s="79" t="s">
        <v>17</v>
      </c>
      <c r="E237" s="176">
        <v>1</v>
      </c>
      <c r="F237" s="262"/>
      <c r="G237" s="80">
        <f t="shared" si="6"/>
        <v>0</v>
      </c>
      <c r="H237" s="127" t="s">
        <v>174</v>
      </c>
    </row>
    <row r="238" spans="1:8" ht="12.75">
      <c r="A238" s="76">
        <f t="shared" si="7"/>
        <v>84</v>
      </c>
      <c r="B238" s="77" t="s">
        <v>29</v>
      </c>
      <c r="C238" s="78" t="s">
        <v>192</v>
      </c>
      <c r="D238" s="79" t="s">
        <v>17</v>
      </c>
      <c r="E238" s="176">
        <v>1</v>
      </c>
      <c r="F238" s="262"/>
      <c r="G238" s="80">
        <f t="shared" si="6"/>
        <v>0</v>
      </c>
      <c r="H238" s="127" t="s">
        <v>174</v>
      </c>
    </row>
    <row r="239" spans="1:8" ht="12.75">
      <c r="A239" s="76">
        <f t="shared" si="7"/>
        <v>85</v>
      </c>
      <c r="B239" s="77" t="s">
        <v>29</v>
      </c>
      <c r="C239" s="78" t="s">
        <v>104</v>
      </c>
      <c r="D239" s="79" t="s">
        <v>26</v>
      </c>
      <c r="E239" s="176">
        <f>SUM(G226:G236)</f>
        <v>0</v>
      </c>
      <c r="F239" s="264"/>
      <c r="G239" s="80">
        <f t="shared" si="6"/>
        <v>0</v>
      </c>
      <c r="H239" s="127" t="s">
        <v>174</v>
      </c>
    </row>
    <row r="240" spans="1:8" ht="12.75">
      <c r="A240" s="76">
        <f t="shared" si="7"/>
        <v>86</v>
      </c>
      <c r="B240" s="77" t="s">
        <v>29</v>
      </c>
      <c r="C240" s="78" t="s">
        <v>105</v>
      </c>
      <c r="D240" s="79" t="s">
        <v>26</v>
      </c>
      <c r="E240" s="176">
        <f>+E239</f>
        <v>0</v>
      </c>
      <c r="F240" s="264"/>
      <c r="G240" s="80">
        <f t="shared" si="6"/>
        <v>0</v>
      </c>
      <c r="H240" s="127" t="s">
        <v>174</v>
      </c>
    </row>
    <row r="241" spans="1:8" ht="13.5" thickBot="1">
      <c r="A241" s="76">
        <f t="shared" si="7"/>
        <v>87</v>
      </c>
      <c r="B241" s="77"/>
      <c r="C241" s="78" t="s">
        <v>43</v>
      </c>
      <c r="D241" s="110" t="s">
        <v>26</v>
      </c>
      <c r="E241" s="176">
        <f>+E240</f>
        <v>0</v>
      </c>
      <c r="F241" s="268"/>
      <c r="G241" s="111">
        <f t="shared" si="6"/>
        <v>0</v>
      </c>
      <c r="H241" s="127" t="s">
        <v>174</v>
      </c>
    </row>
    <row r="242" spans="1:8" ht="13.5" thickBot="1">
      <c r="A242" s="76"/>
      <c r="B242" s="77"/>
      <c r="C242" s="102" t="s">
        <v>19</v>
      </c>
      <c r="D242" s="103"/>
      <c r="E242" s="179"/>
      <c r="F242" s="265"/>
      <c r="G242" s="94">
        <f>SUBTOTAL(9,G226:G241)</f>
        <v>0</v>
      </c>
      <c r="H242" s="153"/>
    </row>
    <row r="243" spans="1:8" ht="12.75">
      <c r="A243" s="76"/>
      <c r="B243" s="77"/>
      <c r="C243" s="95"/>
      <c r="D243" s="96"/>
      <c r="E243" s="166"/>
      <c r="F243" s="251"/>
      <c r="G243" s="97"/>
      <c r="H243" s="127"/>
    </row>
    <row r="244" spans="1:8" ht="16.5">
      <c r="A244" s="76"/>
      <c r="B244" s="98" t="s">
        <v>39</v>
      </c>
      <c r="C244" s="72" t="s">
        <v>54</v>
      </c>
      <c r="D244" s="72"/>
      <c r="E244" s="72"/>
      <c r="F244" s="261"/>
      <c r="G244" s="72"/>
      <c r="H244" s="127"/>
    </row>
    <row r="245" spans="1:8" ht="15">
      <c r="A245" s="76"/>
      <c r="B245" s="71"/>
      <c r="C245" s="229" t="s">
        <v>508</v>
      </c>
      <c r="D245" s="229"/>
      <c r="E245" s="229"/>
      <c r="F245" s="266"/>
      <c r="G245" s="229"/>
      <c r="H245" s="127"/>
    </row>
    <row r="246" spans="1:8" ht="15">
      <c r="A246" s="76"/>
      <c r="B246" s="71"/>
      <c r="C246" s="229" t="s">
        <v>509</v>
      </c>
      <c r="D246" s="229"/>
      <c r="E246" s="229"/>
      <c r="F246" s="266"/>
      <c r="G246" s="229"/>
      <c r="H246" s="127"/>
    </row>
    <row r="247" spans="1:8" ht="15">
      <c r="A247" s="76"/>
      <c r="B247" s="71"/>
      <c r="C247" s="229" t="s">
        <v>510</v>
      </c>
      <c r="D247" s="229"/>
      <c r="E247" s="229"/>
      <c r="F247" s="266"/>
      <c r="G247" s="229"/>
      <c r="H247" s="127"/>
    </row>
    <row r="248" spans="1:8" ht="15">
      <c r="A248" s="76"/>
      <c r="B248" s="71"/>
      <c r="C248" s="229" t="s">
        <v>511</v>
      </c>
      <c r="D248" s="229"/>
      <c r="E248" s="229"/>
      <c r="F248" s="266"/>
      <c r="G248" s="229"/>
      <c r="H248" s="127"/>
    </row>
    <row r="249" spans="1:18" s="51" customFormat="1" ht="12.75">
      <c r="A249" s="86">
        <f>A241+1</f>
        <v>88</v>
      </c>
      <c r="B249" s="87" t="s">
        <v>28</v>
      </c>
      <c r="C249" s="117" t="s">
        <v>322</v>
      </c>
      <c r="D249" s="88" t="s">
        <v>17</v>
      </c>
      <c r="E249" s="177">
        <v>1</v>
      </c>
      <c r="F249" s="262"/>
      <c r="G249" s="90">
        <f>E249*F249</f>
        <v>0</v>
      </c>
      <c r="H249" s="125" t="s">
        <v>174</v>
      </c>
      <c r="R249" s="131"/>
    </row>
    <row r="250" spans="1:8" ht="12.75">
      <c r="A250" s="86">
        <f>A249+1</f>
        <v>89</v>
      </c>
      <c r="B250" s="77" t="s">
        <v>385</v>
      </c>
      <c r="C250" s="117" t="s">
        <v>365</v>
      </c>
      <c r="D250" s="79" t="s">
        <v>21</v>
      </c>
      <c r="E250" s="176">
        <f>13.6+15.2</f>
        <v>28.799999999999997</v>
      </c>
      <c r="F250" s="262"/>
      <c r="G250" s="80">
        <f>E250*F250</f>
        <v>0</v>
      </c>
      <c r="H250" s="127" t="s">
        <v>174</v>
      </c>
    </row>
    <row r="251" spans="1:8" ht="12.75">
      <c r="A251" s="86">
        <f>A250+1</f>
        <v>90</v>
      </c>
      <c r="B251" s="77" t="s">
        <v>385</v>
      </c>
      <c r="C251" s="117" t="s">
        <v>366</v>
      </c>
      <c r="D251" s="79" t="s">
        <v>21</v>
      </c>
      <c r="E251" s="176">
        <v>2.5</v>
      </c>
      <c r="F251" s="262"/>
      <c r="G251" s="80">
        <f aca="true" t="shared" si="8" ref="G251:G262">E251*F251</f>
        <v>0</v>
      </c>
      <c r="H251" s="127" t="s">
        <v>174</v>
      </c>
    </row>
    <row r="252" spans="1:8" ht="12.75">
      <c r="A252" s="76">
        <f aca="true" t="shared" si="9" ref="A252:A262">A251+1</f>
        <v>91</v>
      </c>
      <c r="B252" s="77" t="s">
        <v>385</v>
      </c>
      <c r="C252" s="101" t="s">
        <v>164</v>
      </c>
      <c r="D252" s="79" t="s">
        <v>21</v>
      </c>
      <c r="E252" s="176">
        <v>13.6</v>
      </c>
      <c r="F252" s="262"/>
      <c r="G252" s="80">
        <f t="shared" si="8"/>
        <v>0</v>
      </c>
      <c r="H252" s="127" t="s">
        <v>174</v>
      </c>
    </row>
    <row r="253" spans="1:8" ht="12.75">
      <c r="A253" s="76">
        <f t="shared" si="9"/>
        <v>92</v>
      </c>
      <c r="B253" s="77" t="s">
        <v>385</v>
      </c>
      <c r="C253" s="101" t="s">
        <v>165</v>
      </c>
      <c r="D253" s="79" t="s">
        <v>21</v>
      </c>
      <c r="E253" s="176">
        <f>+E251</f>
        <v>2.5</v>
      </c>
      <c r="F253" s="262"/>
      <c r="G253" s="80">
        <f t="shared" si="8"/>
        <v>0</v>
      </c>
      <c r="H253" s="127" t="s">
        <v>174</v>
      </c>
    </row>
    <row r="254" spans="1:8" ht="12.75">
      <c r="A254" s="76">
        <f t="shared" si="9"/>
        <v>93</v>
      </c>
      <c r="B254" s="77" t="s">
        <v>385</v>
      </c>
      <c r="C254" s="101" t="s">
        <v>159</v>
      </c>
      <c r="D254" s="79" t="s">
        <v>21</v>
      </c>
      <c r="E254" s="176">
        <v>15.2</v>
      </c>
      <c r="F254" s="262"/>
      <c r="G254" s="80">
        <f t="shared" si="8"/>
        <v>0</v>
      </c>
      <c r="H254" s="127" t="s">
        <v>174</v>
      </c>
    </row>
    <row r="255" spans="1:8" ht="12.75">
      <c r="A255" s="76">
        <f t="shared" si="9"/>
        <v>94</v>
      </c>
      <c r="B255" s="77" t="s">
        <v>385</v>
      </c>
      <c r="C255" s="101" t="s">
        <v>1</v>
      </c>
      <c r="D255" s="79" t="s">
        <v>21</v>
      </c>
      <c r="E255" s="176">
        <v>0</v>
      </c>
      <c r="F255" s="262"/>
      <c r="G255" s="80">
        <f t="shared" si="8"/>
        <v>0</v>
      </c>
      <c r="H255" s="127" t="s">
        <v>174</v>
      </c>
    </row>
    <row r="256" spans="1:8" ht="12.75">
      <c r="A256" s="76">
        <f t="shared" si="9"/>
        <v>95</v>
      </c>
      <c r="B256" s="77" t="s">
        <v>29</v>
      </c>
      <c r="C256" s="101" t="s">
        <v>387</v>
      </c>
      <c r="D256" s="79" t="s">
        <v>20</v>
      </c>
      <c r="E256" s="176">
        <f>E257+E258</f>
        <v>6</v>
      </c>
      <c r="F256" s="262"/>
      <c r="G256" s="80">
        <f t="shared" si="8"/>
        <v>0</v>
      </c>
      <c r="H256" s="127" t="s">
        <v>174</v>
      </c>
    </row>
    <row r="257" spans="1:8" ht="12.75">
      <c r="A257" s="76">
        <f t="shared" si="9"/>
        <v>96</v>
      </c>
      <c r="B257" s="106" t="s">
        <v>28</v>
      </c>
      <c r="C257" s="107" t="s">
        <v>386</v>
      </c>
      <c r="D257" s="108" t="s">
        <v>20</v>
      </c>
      <c r="E257" s="180">
        <v>4</v>
      </c>
      <c r="F257" s="267"/>
      <c r="G257" s="109">
        <f t="shared" si="8"/>
        <v>0</v>
      </c>
      <c r="H257" s="127" t="s">
        <v>174</v>
      </c>
    </row>
    <row r="258" spans="1:8" ht="12.75">
      <c r="A258" s="76">
        <f t="shared" si="9"/>
        <v>97</v>
      </c>
      <c r="B258" s="106" t="s">
        <v>28</v>
      </c>
      <c r="C258" s="107" t="s">
        <v>388</v>
      </c>
      <c r="D258" s="108" t="s">
        <v>20</v>
      </c>
      <c r="E258" s="180">
        <v>2</v>
      </c>
      <c r="F258" s="267"/>
      <c r="G258" s="109">
        <f t="shared" si="8"/>
        <v>0</v>
      </c>
      <c r="H258" s="127" t="s">
        <v>174</v>
      </c>
    </row>
    <row r="259" spans="1:8" ht="25.5">
      <c r="A259" s="76">
        <f t="shared" si="9"/>
        <v>98</v>
      </c>
      <c r="B259" s="77" t="s">
        <v>29</v>
      </c>
      <c r="C259" s="101" t="s">
        <v>74</v>
      </c>
      <c r="D259" s="79" t="s">
        <v>21</v>
      </c>
      <c r="E259" s="176">
        <f>+E249+E251</f>
        <v>3.5</v>
      </c>
      <c r="F259" s="262"/>
      <c r="G259" s="80">
        <f t="shared" si="8"/>
        <v>0</v>
      </c>
      <c r="H259" s="127" t="s">
        <v>174</v>
      </c>
    </row>
    <row r="260" spans="1:8" ht="12.75">
      <c r="A260" s="76">
        <f t="shared" si="9"/>
        <v>99</v>
      </c>
      <c r="B260" s="77" t="s">
        <v>29</v>
      </c>
      <c r="C260" s="101" t="s">
        <v>75</v>
      </c>
      <c r="D260" s="79" t="s">
        <v>21</v>
      </c>
      <c r="E260" s="176">
        <f>+E259</f>
        <v>3.5</v>
      </c>
      <c r="F260" s="262"/>
      <c r="G260" s="80">
        <f t="shared" si="8"/>
        <v>0</v>
      </c>
      <c r="H260" s="127" t="s">
        <v>174</v>
      </c>
    </row>
    <row r="261" spans="1:8" ht="12.75">
      <c r="A261" s="76">
        <f t="shared" si="9"/>
        <v>100</v>
      </c>
      <c r="B261" s="77" t="s">
        <v>29</v>
      </c>
      <c r="C261" s="78" t="s">
        <v>158</v>
      </c>
      <c r="D261" s="79" t="s">
        <v>17</v>
      </c>
      <c r="E261" s="176">
        <v>1</v>
      </c>
      <c r="F261" s="262"/>
      <c r="G261" s="80">
        <f t="shared" si="8"/>
        <v>0</v>
      </c>
      <c r="H261" s="127" t="s">
        <v>174</v>
      </c>
    </row>
    <row r="262" spans="1:8" ht="13.5" thickBot="1">
      <c r="A262" s="76">
        <f t="shared" si="9"/>
        <v>101</v>
      </c>
      <c r="B262" s="77"/>
      <c r="C262" s="78" t="s">
        <v>43</v>
      </c>
      <c r="D262" s="110" t="s">
        <v>26</v>
      </c>
      <c r="E262" s="176">
        <f>SUM(G249:G256)</f>
        <v>0</v>
      </c>
      <c r="F262" s="268"/>
      <c r="G262" s="111">
        <f t="shared" si="8"/>
        <v>0</v>
      </c>
      <c r="H262" s="127" t="s">
        <v>174</v>
      </c>
    </row>
    <row r="263" spans="1:8" ht="13.5" thickBot="1">
      <c r="A263" s="76"/>
      <c r="B263" s="77"/>
      <c r="C263" s="102" t="s">
        <v>19</v>
      </c>
      <c r="D263" s="103"/>
      <c r="E263" s="179"/>
      <c r="F263" s="265"/>
      <c r="G263" s="94">
        <f>SUBTOTAL(9,G249:G262)</f>
        <v>0</v>
      </c>
      <c r="H263" s="153"/>
    </row>
    <row r="264" spans="1:8" ht="12.75">
      <c r="A264" s="76"/>
      <c r="B264" s="77"/>
      <c r="C264" s="95"/>
      <c r="D264" s="96"/>
      <c r="E264" s="166"/>
      <c r="F264" s="251"/>
      <c r="G264" s="97"/>
      <c r="H264" s="127"/>
    </row>
    <row r="265" spans="1:18" s="51" customFormat="1" ht="16.5">
      <c r="A265" s="86"/>
      <c r="B265" s="118" t="s">
        <v>40</v>
      </c>
      <c r="C265" s="201" t="s">
        <v>216</v>
      </c>
      <c r="D265" s="201"/>
      <c r="E265" s="201"/>
      <c r="F265" s="269"/>
      <c r="G265" s="201"/>
      <c r="H265" s="131"/>
      <c r="R265" s="131"/>
    </row>
    <row r="266" spans="1:8" ht="15">
      <c r="A266" s="76"/>
      <c r="B266" s="71"/>
      <c r="C266" s="229" t="s">
        <v>512</v>
      </c>
      <c r="D266" s="229"/>
      <c r="E266" s="229"/>
      <c r="F266" s="266"/>
      <c r="G266" s="229"/>
      <c r="H266" s="127"/>
    </row>
    <row r="267" spans="1:8" ht="15">
      <c r="A267" s="76"/>
      <c r="B267" s="71"/>
      <c r="C267" s="229" t="s">
        <v>509</v>
      </c>
      <c r="D267" s="229"/>
      <c r="E267" s="229"/>
      <c r="F267" s="266"/>
      <c r="G267" s="229"/>
      <c r="H267" s="127"/>
    </row>
    <row r="268" spans="1:8" ht="15">
      <c r="A268" s="76"/>
      <c r="B268" s="71"/>
      <c r="C268" s="229" t="s">
        <v>513</v>
      </c>
      <c r="D268" s="229"/>
      <c r="E268" s="229"/>
      <c r="F268" s="266"/>
      <c r="G268" s="229"/>
      <c r="H268" s="127"/>
    </row>
    <row r="269" spans="1:8" ht="15">
      <c r="A269" s="76"/>
      <c r="B269" s="71"/>
      <c r="C269" s="229" t="s">
        <v>514</v>
      </c>
      <c r="D269" s="229"/>
      <c r="E269" s="229"/>
      <c r="F269" s="266"/>
      <c r="G269" s="229"/>
      <c r="H269" s="127"/>
    </row>
    <row r="270" spans="1:18" s="51" customFormat="1" ht="12.75">
      <c r="A270" s="86">
        <f>A262+1</f>
        <v>102</v>
      </c>
      <c r="B270" s="87" t="s">
        <v>385</v>
      </c>
      <c r="C270" s="117" t="s">
        <v>273</v>
      </c>
      <c r="D270" s="88" t="s">
        <v>21</v>
      </c>
      <c r="E270" s="177">
        <f>7.8+2.6</f>
        <v>10.4</v>
      </c>
      <c r="F270" s="262"/>
      <c r="G270" s="90">
        <f aca="true" t="shared" si="10" ref="G270:G293">E270*F270</f>
        <v>0</v>
      </c>
      <c r="H270" s="127" t="s">
        <v>174</v>
      </c>
      <c r="I270" s="192"/>
      <c r="R270" s="131"/>
    </row>
    <row r="271" spans="1:18" s="51" customFormat="1" ht="12.75">
      <c r="A271" s="86">
        <f aca="true" t="shared" si="11" ref="A271:A293">+A270+1</f>
        <v>103</v>
      </c>
      <c r="B271" s="87" t="s">
        <v>385</v>
      </c>
      <c r="C271" s="117" t="s">
        <v>217</v>
      </c>
      <c r="D271" s="88" t="s">
        <v>21</v>
      </c>
      <c r="E271" s="177">
        <v>0.4</v>
      </c>
      <c r="F271" s="262"/>
      <c r="G271" s="90">
        <f t="shared" si="10"/>
        <v>0</v>
      </c>
      <c r="H271" s="127" t="s">
        <v>174</v>
      </c>
      <c r="R271" s="131"/>
    </row>
    <row r="272" spans="1:18" s="51" customFormat="1" ht="12.75">
      <c r="A272" s="86">
        <f t="shared" si="11"/>
        <v>104</v>
      </c>
      <c r="B272" s="87" t="s">
        <v>385</v>
      </c>
      <c r="C272" s="117" t="s">
        <v>318</v>
      </c>
      <c r="D272" s="88" t="s">
        <v>21</v>
      </c>
      <c r="E272" s="177">
        <v>0.5</v>
      </c>
      <c r="F272" s="262"/>
      <c r="G272" s="90">
        <f>E272*F272</f>
        <v>0</v>
      </c>
      <c r="H272" s="127" t="s">
        <v>174</v>
      </c>
      <c r="R272" s="131"/>
    </row>
    <row r="273" spans="1:18" s="51" customFormat="1" ht="25.5">
      <c r="A273" s="86">
        <f>A272+1</f>
        <v>105</v>
      </c>
      <c r="B273" s="87" t="s">
        <v>385</v>
      </c>
      <c r="C273" s="117" t="s">
        <v>323</v>
      </c>
      <c r="D273" s="88" t="s">
        <v>20</v>
      </c>
      <c r="E273" s="177">
        <v>1</v>
      </c>
      <c r="F273" s="262"/>
      <c r="G273" s="90">
        <f t="shared" si="10"/>
        <v>0</v>
      </c>
      <c r="H273" s="125" t="s">
        <v>174</v>
      </c>
      <c r="R273" s="131"/>
    </row>
    <row r="274" spans="1:18" s="51" customFormat="1" ht="12.75">
      <c r="A274" s="86">
        <f t="shared" si="11"/>
        <v>106</v>
      </c>
      <c r="B274" s="87" t="s">
        <v>28</v>
      </c>
      <c r="C274" s="117" t="s">
        <v>218</v>
      </c>
      <c r="D274" s="88" t="s">
        <v>20</v>
      </c>
      <c r="E274" s="177">
        <v>1</v>
      </c>
      <c r="F274" s="262"/>
      <c r="G274" s="90">
        <f t="shared" si="10"/>
        <v>0</v>
      </c>
      <c r="H274" s="127" t="s">
        <v>174</v>
      </c>
      <c r="R274" s="131"/>
    </row>
    <row r="275" spans="1:18" s="51" customFormat="1" ht="12.75">
      <c r="A275" s="86">
        <f t="shared" si="11"/>
        <v>107</v>
      </c>
      <c r="B275" s="87" t="s">
        <v>28</v>
      </c>
      <c r="C275" s="115" t="s">
        <v>274</v>
      </c>
      <c r="D275" s="88" t="s">
        <v>20</v>
      </c>
      <c r="E275" s="177">
        <v>1</v>
      </c>
      <c r="F275" s="262"/>
      <c r="G275" s="90">
        <f t="shared" si="10"/>
        <v>0</v>
      </c>
      <c r="H275" s="127" t="s">
        <v>174</v>
      </c>
      <c r="R275" s="131"/>
    </row>
    <row r="276" spans="1:18" s="51" customFormat="1" ht="12.75">
      <c r="A276" s="86">
        <f t="shared" si="11"/>
        <v>108</v>
      </c>
      <c r="B276" s="87" t="s">
        <v>28</v>
      </c>
      <c r="C276" s="115" t="s">
        <v>324</v>
      </c>
      <c r="D276" s="88" t="s">
        <v>20</v>
      </c>
      <c r="E276" s="177">
        <v>1</v>
      </c>
      <c r="F276" s="262"/>
      <c r="G276" s="90">
        <f t="shared" si="10"/>
        <v>0</v>
      </c>
      <c r="H276" s="125" t="s">
        <v>174</v>
      </c>
      <c r="R276" s="131"/>
    </row>
    <row r="277" spans="1:18" s="51" customFormat="1" ht="12.75">
      <c r="A277" s="86">
        <f t="shared" si="11"/>
        <v>109</v>
      </c>
      <c r="B277" s="87" t="s">
        <v>28</v>
      </c>
      <c r="C277" s="115" t="s">
        <v>325</v>
      </c>
      <c r="D277" s="88" t="s">
        <v>17</v>
      </c>
      <c r="E277" s="177">
        <v>1</v>
      </c>
      <c r="F277" s="262"/>
      <c r="G277" s="90">
        <f t="shared" si="10"/>
        <v>0</v>
      </c>
      <c r="H277" s="125" t="s">
        <v>174</v>
      </c>
      <c r="R277" s="131"/>
    </row>
    <row r="278" spans="1:18" s="51" customFormat="1" ht="12.75">
      <c r="A278" s="86">
        <f t="shared" si="11"/>
        <v>110</v>
      </c>
      <c r="B278" s="87" t="s">
        <v>28</v>
      </c>
      <c r="C278" s="82" t="s">
        <v>337</v>
      </c>
      <c r="D278" s="88" t="s">
        <v>20</v>
      </c>
      <c r="E278" s="177">
        <v>1</v>
      </c>
      <c r="F278" s="262"/>
      <c r="G278" s="90">
        <f t="shared" si="10"/>
        <v>0</v>
      </c>
      <c r="H278" s="125" t="s">
        <v>174</v>
      </c>
      <c r="R278" s="131"/>
    </row>
    <row r="279" spans="1:18" s="51" customFormat="1" ht="25.5">
      <c r="A279" s="86">
        <f t="shared" si="11"/>
        <v>111</v>
      </c>
      <c r="B279" s="87" t="s">
        <v>28</v>
      </c>
      <c r="C279" s="82" t="s">
        <v>326</v>
      </c>
      <c r="D279" s="88" t="s">
        <v>20</v>
      </c>
      <c r="E279" s="177">
        <v>1</v>
      </c>
      <c r="F279" s="262"/>
      <c r="G279" s="90">
        <f aca="true" t="shared" si="12" ref="G279:G284">E279*F279</f>
        <v>0</v>
      </c>
      <c r="H279" s="125" t="s">
        <v>174</v>
      </c>
      <c r="R279" s="131"/>
    </row>
    <row r="280" spans="1:18" s="51" customFormat="1" ht="12.75">
      <c r="A280" s="86">
        <f t="shared" si="11"/>
        <v>112</v>
      </c>
      <c r="B280" s="87" t="s">
        <v>28</v>
      </c>
      <c r="C280" s="82" t="s">
        <v>327</v>
      </c>
      <c r="D280" s="88" t="s">
        <v>20</v>
      </c>
      <c r="E280" s="177">
        <v>1</v>
      </c>
      <c r="F280" s="262"/>
      <c r="G280" s="90">
        <f t="shared" si="12"/>
        <v>0</v>
      </c>
      <c r="H280" s="125" t="s">
        <v>174</v>
      </c>
      <c r="R280" s="131"/>
    </row>
    <row r="281" spans="1:18" s="51" customFormat="1" ht="38.25">
      <c r="A281" s="86">
        <f t="shared" si="11"/>
        <v>113</v>
      </c>
      <c r="B281" s="87" t="s">
        <v>28</v>
      </c>
      <c r="C281" s="82" t="s">
        <v>328</v>
      </c>
      <c r="D281" s="88" t="s">
        <v>21</v>
      </c>
      <c r="E281" s="177">
        <f>3.5+3.1</f>
        <v>6.6</v>
      </c>
      <c r="F281" s="262"/>
      <c r="G281" s="90">
        <f t="shared" si="12"/>
        <v>0</v>
      </c>
      <c r="H281" s="125" t="s">
        <v>174</v>
      </c>
      <c r="R281" s="131"/>
    </row>
    <row r="282" spans="1:18" s="51" customFormat="1" ht="12.75">
      <c r="A282" s="86">
        <f t="shared" si="11"/>
        <v>114</v>
      </c>
      <c r="B282" s="87" t="s">
        <v>28</v>
      </c>
      <c r="C282" s="82" t="s">
        <v>329</v>
      </c>
      <c r="D282" s="88" t="s">
        <v>20</v>
      </c>
      <c r="E282" s="177">
        <v>4</v>
      </c>
      <c r="F282" s="262"/>
      <c r="G282" s="90">
        <f t="shared" si="12"/>
        <v>0</v>
      </c>
      <c r="H282" s="125" t="s">
        <v>174</v>
      </c>
      <c r="R282" s="131"/>
    </row>
    <row r="283" spans="1:18" s="51" customFormat="1" ht="12.75">
      <c r="A283" s="86">
        <f t="shared" si="11"/>
        <v>115</v>
      </c>
      <c r="B283" s="87" t="s">
        <v>28</v>
      </c>
      <c r="C283" s="82" t="s">
        <v>330</v>
      </c>
      <c r="D283" s="88" t="s">
        <v>20</v>
      </c>
      <c r="E283" s="177">
        <v>2</v>
      </c>
      <c r="F283" s="262"/>
      <c r="G283" s="90">
        <f t="shared" si="12"/>
        <v>0</v>
      </c>
      <c r="H283" s="125" t="s">
        <v>174</v>
      </c>
      <c r="R283" s="131"/>
    </row>
    <row r="284" spans="1:18" s="51" customFormat="1" ht="12.75">
      <c r="A284" s="86">
        <f t="shared" si="11"/>
        <v>116</v>
      </c>
      <c r="B284" s="87"/>
      <c r="C284" s="82" t="s">
        <v>331</v>
      </c>
      <c r="D284" s="88" t="s">
        <v>20</v>
      </c>
      <c r="E284" s="177">
        <v>1</v>
      </c>
      <c r="F284" s="262"/>
      <c r="G284" s="90">
        <f t="shared" si="12"/>
        <v>0</v>
      </c>
      <c r="H284" s="125" t="s">
        <v>174</v>
      </c>
      <c r="R284" s="131"/>
    </row>
    <row r="285" spans="1:18" s="51" customFormat="1" ht="38.25">
      <c r="A285" s="86">
        <f t="shared" si="11"/>
        <v>117</v>
      </c>
      <c r="B285" s="87" t="s">
        <v>28</v>
      </c>
      <c r="C285" s="82" t="s">
        <v>332</v>
      </c>
      <c r="D285" s="88" t="s">
        <v>21</v>
      </c>
      <c r="E285" s="177">
        <f>13+2</f>
        <v>15</v>
      </c>
      <c r="F285" s="262"/>
      <c r="G285" s="90">
        <f t="shared" si="10"/>
        <v>0</v>
      </c>
      <c r="H285" s="125" t="s">
        <v>174</v>
      </c>
      <c r="R285" s="131"/>
    </row>
    <row r="286" spans="1:18" s="51" customFormat="1" ht="12.75">
      <c r="A286" s="86">
        <f t="shared" si="11"/>
        <v>118</v>
      </c>
      <c r="B286" s="87" t="s">
        <v>28</v>
      </c>
      <c r="C286" s="82" t="s">
        <v>333</v>
      </c>
      <c r="D286" s="88" t="s">
        <v>20</v>
      </c>
      <c r="E286" s="177">
        <v>1</v>
      </c>
      <c r="F286" s="262"/>
      <c r="G286" s="90">
        <f t="shared" si="10"/>
        <v>0</v>
      </c>
      <c r="H286" s="125" t="s">
        <v>174</v>
      </c>
      <c r="R286" s="131"/>
    </row>
    <row r="287" spans="1:18" s="51" customFormat="1" ht="25.5">
      <c r="A287" s="86">
        <f t="shared" si="11"/>
        <v>119</v>
      </c>
      <c r="B287" s="87" t="s">
        <v>29</v>
      </c>
      <c r="C287" s="78" t="s">
        <v>301</v>
      </c>
      <c r="D287" s="88" t="s">
        <v>17</v>
      </c>
      <c r="E287" s="177">
        <v>1</v>
      </c>
      <c r="F287" s="262"/>
      <c r="G287" s="90">
        <f>E287*F287</f>
        <v>0</v>
      </c>
      <c r="H287" s="127" t="s">
        <v>174</v>
      </c>
      <c r="R287" s="131"/>
    </row>
    <row r="288" spans="1:18" s="51" customFormat="1" ht="12.75">
      <c r="A288" s="86">
        <f t="shared" si="11"/>
        <v>120</v>
      </c>
      <c r="B288" s="87" t="s">
        <v>29</v>
      </c>
      <c r="C288" s="82" t="s">
        <v>373</v>
      </c>
      <c r="D288" s="88" t="s">
        <v>21</v>
      </c>
      <c r="E288" s="177">
        <v>13.5</v>
      </c>
      <c r="F288" s="262"/>
      <c r="G288" s="90">
        <f>E288*F288</f>
        <v>0</v>
      </c>
      <c r="H288" s="152" t="s">
        <v>174</v>
      </c>
      <c r="I288" s="5"/>
      <c r="R288" s="131"/>
    </row>
    <row r="289" spans="1:18" s="51" customFormat="1" ht="12.75">
      <c r="A289" s="86">
        <f t="shared" si="11"/>
        <v>121</v>
      </c>
      <c r="B289" s="87" t="s">
        <v>29</v>
      </c>
      <c r="C289" s="82" t="s">
        <v>104</v>
      </c>
      <c r="D289" s="88" t="s">
        <v>26</v>
      </c>
      <c r="E289" s="177">
        <f>SUM(G270:G286)</f>
        <v>0</v>
      </c>
      <c r="F289" s="270"/>
      <c r="G289" s="90">
        <f t="shared" si="10"/>
        <v>0</v>
      </c>
      <c r="H289" s="127" t="s">
        <v>174</v>
      </c>
      <c r="R289" s="131"/>
    </row>
    <row r="290" spans="1:18" s="51" customFormat="1" ht="12.75">
      <c r="A290" s="86">
        <f t="shared" si="11"/>
        <v>122</v>
      </c>
      <c r="B290" s="87" t="s">
        <v>34</v>
      </c>
      <c r="C290" s="117" t="s">
        <v>313</v>
      </c>
      <c r="D290" s="88" t="s">
        <v>21</v>
      </c>
      <c r="E290" s="176">
        <f>+E270+E271+E272</f>
        <v>11.3</v>
      </c>
      <c r="F290" s="262"/>
      <c r="G290" s="90">
        <f t="shared" si="10"/>
        <v>0</v>
      </c>
      <c r="H290" s="127" t="s">
        <v>174</v>
      </c>
      <c r="R290" s="131"/>
    </row>
    <row r="291" spans="1:18" s="51" customFormat="1" ht="12.75">
      <c r="A291" s="86">
        <f t="shared" si="11"/>
        <v>123</v>
      </c>
      <c r="B291" s="87" t="s">
        <v>29</v>
      </c>
      <c r="C291" s="117" t="s">
        <v>219</v>
      </c>
      <c r="D291" s="88" t="s">
        <v>17</v>
      </c>
      <c r="E291" s="177">
        <v>1</v>
      </c>
      <c r="F291" s="262"/>
      <c r="G291" s="90">
        <f t="shared" si="10"/>
        <v>0</v>
      </c>
      <c r="H291" s="127" t="s">
        <v>174</v>
      </c>
      <c r="R291" s="131"/>
    </row>
    <row r="292" spans="1:18" s="51" customFormat="1" ht="12.75">
      <c r="A292" s="86">
        <f t="shared" si="11"/>
        <v>124</v>
      </c>
      <c r="B292" s="87" t="s">
        <v>29</v>
      </c>
      <c r="C292" s="117" t="s">
        <v>220</v>
      </c>
      <c r="D292" s="88" t="s">
        <v>17</v>
      </c>
      <c r="E292" s="177">
        <v>1</v>
      </c>
      <c r="F292" s="262"/>
      <c r="G292" s="90">
        <f>E292*F292</f>
        <v>0</v>
      </c>
      <c r="H292" s="127" t="s">
        <v>174</v>
      </c>
      <c r="R292" s="131"/>
    </row>
    <row r="293" spans="1:18" s="51" customFormat="1" ht="13.5" thickBot="1">
      <c r="A293" s="86">
        <f t="shared" si="11"/>
        <v>125</v>
      </c>
      <c r="B293" s="87"/>
      <c r="C293" s="82" t="s">
        <v>43</v>
      </c>
      <c r="D293" s="119" t="s">
        <v>26</v>
      </c>
      <c r="E293" s="177">
        <f>SUM(G270:G286,G290)</f>
        <v>0</v>
      </c>
      <c r="F293" s="268"/>
      <c r="G293" s="120">
        <f t="shared" si="10"/>
        <v>0</v>
      </c>
      <c r="H293" s="127" t="s">
        <v>174</v>
      </c>
      <c r="R293" s="131"/>
    </row>
    <row r="294" spans="1:18" s="51" customFormat="1" ht="13.5" thickBot="1">
      <c r="A294" s="86"/>
      <c r="B294" s="87"/>
      <c r="C294" s="102" t="s">
        <v>19</v>
      </c>
      <c r="D294" s="103"/>
      <c r="E294" s="183"/>
      <c r="F294" s="271"/>
      <c r="G294" s="94">
        <f>SUBTOTAL(9,G270:G293)</f>
        <v>0</v>
      </c>
      <c r="H294" s="156"/>
      <c r="I294" s="155"/>
      <c r="R294" s="131"/>
    </row>
    <row r="295" spans="1:8" ht="12.75">
      <c r="A295" s="76"/>
      <c r="B295" s="77"/>
      <c r="C295" s="95"/>
      <c r="D295" s="96"/>
      <c r="E295" s="166"/>
      <c r="F295" s="251"/>
      <c r="G295" s="97"/>
      <c r="H295" s="158"/>
    </row>
    <row r="296" spans="1:8" ht="16.5">
      <c r="A296" s="76"/>
      <c r="B296" s="98" t="s">
        <v>41</v>
      </c>
      <c r="C296" s="72" t="s">
        <v>55</v>
      </c>
      <c r="D296" s="72"/>
      <c r="E296" s="72"/>
      <c r="F296" s="261"/>
      <c r="G296" s="72"/>
      <c r="H296" s="127"/>
    </row>
    <row r="297" spans="1:8" ht="15">
      <c r="A297" s="76"/>
      <c r="B297" s="71"/>
      <c r="C297" s="228" t="s">
        <v>515</v>
      </c>
      <c r="D297" s="228"/>
      <c r="E297" s="228"/>
      <c r="F297" s="259"/>
      <c r="G297" s="228"/>
      <c r="H297" s="127"/>
    </row>
    <row r="298" spans="1:8" ht="15">
      <c r="A298" s="76"/>
      <c r="B298" s="71"/>
      <c r="C298" s="229" t="s">
        <v>516</v>
      </c>
      <c r="D298" s="229"/>
      <c r="E298" s="229"/>
      <c r="F298" s="266"/>
      <c r="G298" s="229"/>
      <c r="H298" s="127"/>
    </row>
    <row r="299" spans="1:8" ht="15">
      <c r="A299" s="76"/>
      <c r="B299" s="71"/>
      <c r="C299" s="229" t="s">
        <v>517</v>
      </c>
      <c r="D299" s="229"/>
      <c r="E299" s="229"/>
      <c r="F299" s="266"/>
      <c r="G299" s="229"/>
      <c r="H299" s="127"/>
    </row>
    <row r="300" spans="1:8" ht="15">
      <c r="A300" s="76"/>
      <c r="B300" s="71"/>
      <c r="C300" s="229" t="s">
        <v>518</v>
      </c>
      <c r="D300" s="229"/>
      <c r="E300" s="229"/>
      <c r="F300" s="266"/>
      <c r="G300" s="229"/>
      <c r="H300" s="127"/>
    </row>
    <row r="301" spans="1:8" ht="15">
      <c r="A301" s="76"/>
      <c r="B301" s="71"/>
      <c r="C301" s="229" t="s">
        <v>519</v>
      </c>
      <c r="D301" s="229"/>
      <c r="E301" s="229"/>
      <c r="F301" s="266"/>
      <c r="G301" s="229"/>
      <c r="H301" s="127"/>
    </row>
    <row r="302" spans="1:10" ht="12.75">
      <c r="A302" s="76">
        <f>A293+1</f>
        <v>126</v>
      </c>
      <c r="B302" s="77" t="s">
        <v>29</v>
      </c>
      <c r="C302" s="78" t="s">
        <v>389</v>
      </c>
      <c r="D302" s="79" t="s">
        <v>20</v>
      </c>
      <c r="E302" s="176">
        <v>1</v>
      </c>
      <c r="F302" s="262"/>
      <c r="G302" s="80">
        <f aca="true" t="shared" si="13" ref="G302:G321">E302*F302</f>
        <v>0</v>
      </c>
      <c r="H302" s="127" t="s">
        <v>174</v>
      </c>
      <c r="J302" s="104"/>
    </row>
    <row r="303" spans="1:8" ht="25.5">
      <c r="A303" s="76">
        <f>A302+1</f>
        <v>127</v>
      </c>
      <c r="B303" s="106" t="s">
        <v>28</v>
      </c>
      <c r="C303" s="107" t="s">
        <v>275</v>
      </c>
      <c r="D303" s="108" t="s">
        <v>20</v>
      </c>
      <c r="E303" s="180">
        <v>1</v>
      </c>
      <c r="F303" s="267"/>
      <c r="G303" s="109">
        <f t="shared" si="13"/>
        <v>0</v>
      </c>
      <c r="H303" s="127" t="s">
        <v>174</v>
      </c>
    </row>
    <row r="304" spans="1:10" ht="12.75">
      <c r="A304" s="76">
        <f aca="true" t="shared" si="14" ref="A304:A318">A303+1</f>
        <v>128</v>
      </c>
      <c r="B304" s="77" t="s">
        <v>29</v>
      </c>
      <c r="C304" s="78" t="s">
        <v>390</v>
      </c>
      <c r="D304" s="79" t="s">
        <v>20</v>
      </c>
      <c r="E304" s="176">
        <v>1</v>
      </c>
      <c r="F304" s="262"/>
      <c r="G304" s="80">
        <f>E304*F304</f>
        <v>0</v>
      </c>
      <c r="H304" s="127" t="s">
        <v>174</v>
      </c>
      <c r="J304" s="104"/>
    </row>
    <row r="305" spans="1:8" ht="25.5">
      <c r="A305" s="76">
        <f t="shared" si="14"/>
        <v>129</v>
      </c>
      <c r="B305" s="106" t="s">
        <v>28</v>
      </c>
      <c r="C305" s="107" t="s">
        <v>276</v>
      </c>
      <c r="D305" s="108" t="s">
        <v>20</v>
      </c>
      <c r="E305" s="180">
        <v>1</v>
      </c>
      <c r="F305" s="267"/>
      <c r="G305" s="109">
        <f t="shared" si="13"/>
        <v>0</v>
      </c>
      <c r="H305" s="127" t="s">
        <v>174</v>
      </c>
    </row>
    <row r="306" spans="1:8" ht="12.75">
      <c r="A306" s="76">
        <f t="shared" si="14"/>
        <v>130</v>
      </c>
      <c r="B306" s="106" t="s">
        <v>28</v>
      </c>
      <c r="C306" s="107" t="s">
        <v>277</v>
      </c>
      <c r="D306" s="108" t="s">
        <v>20</v>
      </c>
      <c r="E306" s="180">
        <v>1</v>
      </c>
      <c r="F306" s="267"/>
      <c r="G306" s="109">
        <f t="shared" si="13"/>
        <v>0</v>
      </c>
      <c r="H306" s="127" t="s">
        <v>174</v>
      </c>
    </row>
    <row r="307" spans="1:10" ht="12.75">
      <c r="A307" s="76">
        <f t="shared" si="14"/>
        <v>131</v>
      </c>
      <c r="B307" s="77" t="s">
        <v>29</v>
      </c>
      <c r="C307" s="78" t="s">
        <v>391</v>
      </c>
      <c r="D307" s="79" t="s">
        <v>20</v>
      </c>
      <c r="E307" s="176">
        <v>2</v>
      </c>
      <c r="F307" s="262"/>
      <c r="G307" s="80">
        <f t="shared" si="13"/>
        <v>0</v>
      </c>
      <c r="H307" s="127" t="s">
        <v>174</v>
      </c>
      <c r="J307" s="104"/>
    </row>
    <row r="308" spans="1:8" ht="25.5">
      <c r="A308" s="76">
        <f t="shared" si="14"/>
        <v>132</v>
      </c>
      <c r="B308" s="106" t="s">
        <v>28</v>
      </c>
      <c r="C308" s="107" t="s">
        <v>186</v>
      </c>
      <c r="D308" s="108" t="s">
        <v>20</v>
      </c>
      <c r="E308" s="180">
        <v>1</v>
      </c>
      <c r="F308" s="267"/>
      <c r="G308" s="109">
        <f t="shared" si="13"/>
        <v>0</v>
      </c>
      <c r="H308" s="127" t="s">
        <v>174</v>
      </c>
    </row>
    <row r="309" spans="1:8" ht="12.75">
      <c r="A309" s="76">
        <f t="shared" si="14"/>
        <v>133</v>
      </c>
      <c r="B309" s="106" t="s">
        <v>28</v>
      </c>
      <c r="C309" s="107" t="s">
        <v>392</v>
      </c>
      <c r="D309" s="108" t="s">
        <v>20</v>
      </c>
      <c r="E309" s="180">
        <v>1</v>
      </c>
      <c r="F309" s="267"/>
      <c r="G309" s="109">
        <f t="shared" si="13"/>
        <v>0</v>
      </c>
      <c r="H309" s="127" t="s">
        <v>174</v>
      </c>
    </row>
    <row r="310" spans="1:10" ht="25.5">
      <c r="A310" s="76">
        <f t="shared" si="14"/>
        <v>134</v>
      </c>
      <c r="B310" s="77" t="s">
        <v>28</v>
      </c>
      <c r="C310" s="78" t="s">
        <v>249</v>
      </c>
      <c r="D310" s="79" t="s">
        <v>20</v>
      </c>
      <c r="E310" s="176">
        <v>1</v>
      </c>
      <c r="F310" s="262"/>
      <c r="G310" s="80">
        <f t="shared" si="13"/>
        <v>0</v>
      </c>
      <c r="H310" s="127" t="s">
        <v>174</v>
      </c>
      <c r="J310" s="104"/>
    </row>
    <row r="311" spans="1:8" ht="12.75">
      <c r="A311" s="76">
        <f t="shared" si="14"/>
        <v>135</v>
      </c>
      <c r="B311" s="77" t="s">
        <v>29</v>
      </c>
      <c r="C311" s="78" t="s">
        <v>393</v>
      </c>
      <c r="D311" s="79" t="s">
        <v>20</v>
      </c>
      <c r="E311" s="176">
        <v>4</v>
      </c>
      <c r="F311" s="262"/>
      <c r="G311" s="80">
        <f t="shared" si="13"/>
        <v>0</v>
      </c>
      <c r="H311" s="127" t="s">
        <v>174</v>
      </c>
    </row>
    <row r="312" spans="1:8" ht="12.75">
      <c r="A312" s="76">
        <f t="shared" si="14"/>
        <v>136</v>
      </c>
      <c r="B312" s="106" t="s">
        <v>28</v>
      </c>
      <c r="C312" s="107" t="s">
        <v>394</v>
      </c>
      <c r="D312" s="108" t="s">
        <v>20</v>
      </c>
      <c r="E312" s="180">
        <v>2</v>
      </c>
      <c r="F312" s="267"/>
      <c r="G312" s="109">
        <f t="shared" si="13"/>
        <v>0</v>
      </c>
      <c r="H312" s="127" t="s">
        <v>174</v>
      </c>
    </row>
    <row r="313" spans="1:8" ht="12.75">
      <c r="A313" s="76">
        <f t="shared" si="14"/>
        <v>137</v>
      </c>
      <c r="B313" s="106" t="s">
        <v>28</v>
      </c>
      <c r="C313" s="107" t="s">
        <v>395</v>
      </c>
      <c r="D313" s="108" t="s">
        <v>20</v>
      </c>
      <c r="E313" s="180">
        <v>1</v>
      </c>
      <c r="F313" s="267"/>
      <c r="G313" s="109">
        <f t="shared" si="13"/>
        <v>0</v>
      </c>
      <c r="H313" s="127" t="s">
        <v>174</v>
      </c>
    </row>
    <row r="314" spans="1:8" ht="12.75">
      <c r="A314" s="76">
        <f t="shared" si="14"/>
        <v>138</v>
      </c>
      <c r="B314" s="106" t="s">
        <v>28</v>
      </c>
      <c r="C314" s="107" t="s">
        <v>399</v>
      </c>
      <c r="D314" s="108" t="s">
        <v>20</v>
      </c>
      <c r="E314" s="180">
        <v>1</v>
      </c>
      <c r="F314" s="267"/>
      <c r="G314" s="109">
        <f t="shared" si="13"/>
        <v>0</v>
      </c>
      <c r="H314" s="127" t="s">
        <v>174</v>
      </c>
    </row>
    <row r="315" spans="1:10" ht="25.5">
      <c r="A315" s="76">
        <f t="shared" si="14"/>
        <v>139</v>
      </c>
      <c r="B315" s="77" t="s">
        <v>385</v>
      </c>
      <c r="C315" s="78" t="s">
        <v>251</v>
      </c>
      <c r="D315" s="79" t="s">
        <v>20</v>
      </c>
      <c r="E315" s="176">
        <v>1</v>
      </c>
      <c r="F315" s="262"/>
      <c r="G315" s="80">
        <f t="shared" si="13"/>
        <v>0</v>
      </c>
      <c r="H315" s="127" t="s">
        <v>174</v>
      </c>
      <c r="J315" s="104"/>
    </row>
    <row r="316" spans="1:10" ht="12.75">
      <c r="A316" s="76">
        <f t="shared" si="14"/>
        <v>140</v>
      </c>
      <c r="B316" s="77" t="s">
        <v>385</v>
      </c>
      <c r="C316" s="78" t="s">
        <v>397</v>
      </c>
      <c r="D316" s="79" t="s">
        <v>20</v>
      </c>
      <c r="E316" s="176">
        <v>1</v>
      </c>
      <c r="F316" s="262"/>
      <c r="G316" s="80">
        <f t="shared" si="13"/>
        <v>0</v>
      </c>
      <c r="H316" s="127" t="s">
        <v>174</v>
      </c>
      <c r="J316" s="104"/>
    </row>
    <row r="317" spans="1:10" ht="25.5">
      <c r="A317" s="76">
        <f t="shared" si="14"/>
        <v>141</v>
      </c>
      <c r="B317" s="77" t="s">
        <v>385</v>
      </c>
      <c r="C317" s="78" t="s">
        <v>396</v>
      </c>
      <c r="D317" s="79" t="s">
        <v>20</v>
      </c>
      <c r="E317" s="176">
        <v>1</v>
      </c>
      <c r="F317" s="262"/>
      <c r="G317" s="80">
        <f t="shared" si="13"/>
        <v>0</v>
      </c>
      <c r="H317" s="127" t="s">
        <v>174</v>
      </c>
      <c r="J317" s="104"/>
    </row>
    <row r="318" spans="1:10" ht="25.5">
      <c r="A318" s="76">
        <f t="shared" si="14"/>
        <v>142</v>
      </c>
      <c r="B318" s="77" t="s">
        <v>385</v>
      </c>
      <c r="C318" s="78" t="s">
        <v>400</v>
      </c>
      <c r="D318" s="79" t="s">
        <v>20</v>
      </c>
      <c r="E318" s="176">
        <v>2</v>
      </c>
      <c r="F318" s="262"/>
      <c r="G318" s="80">
        <f t="shared" si="13"/>
        <v>0</v>
      </c>
      <c r="H318" s="127" t="s">
        <v>174</v>
      </c>
      <c r="J318" s="104"/>
    </row>
    <row r="319" spans="1:10" ht="25.5">
      <c r="A319" s="76">
        <f>A318+1</f>
        <v>143</v>
      </c>
      <c r="B319" s="77" t="s">
        <v>385</v>
      </c>
      <c r="C319" s="78" t="s">
        <v>250</v>
      </c>
      <c r="D319" s="79" t="s">
        <v>20</v>
      </c>
      <c r="E319" s="176">
        <v>1</v>
      </c>
      <c r="F319" s="262"/>
      <c r="G319" s="80">
        <f>E319*F319</f>
        <v>0</v>
      </c>
      <c r="H319" s="127" t="s">
        <v>174</v>
      </c>
      <c r="J319" s="104"/>
    </row>
    <row r="320" spans="1:10" ht="25.5">
      <c r="A320" s="76">
        <f>A317+1</f>
        <v>142</v>
      </c>
      <c r="B320" s="77" t="s">
        <v>385</v>
      </c>
      <c r="C320" s="78" t="s">
        <v>398</v>
      </c>
      <c r="D320" s="79" t="s">
        <v>20</v>
      </c>
      <c r="E320" s="176">
        <v>1</v>
      </c>
      <c r="F320" s="262"/>
      <c r="G320" s="80">
        <f t="shared" si="13"/>
        <v>0</v>
      </c>
      <c r="H320" s="127" t="s">
        <v>174</v>
      </c>
      <c r="J320" s="104"/>
    </row>
    <row r="321" spans="1:10" ht="25.5">
      <c r="A321" s="76">
        <f>A319+1</f>
        <v>144</v>
      </c>
      <c r="B321" s="77" t="s">
        <v>385</v>
      </c>
      <c r="C321" s="78" t="s">
        <v>99</v>
      </c>
      <c r="D321" s="79" t="s">
        <v>20</v>
      </c>
      <c r="E321" s="176">
        <v>1</v>
      </c>
      <c r="F321" s="262"/>
      <c r="G321" s="80">
        <f t="shared" si="13"/>
        <v>0</v>
      </c>
      <c r="H321" s="127" t="s">
        <v>174</v>
      </c>
      <c r="J321" s="104"/>
    </row>
    <row r="322" spans="1:8" ht="12.75">
      <c r="A322" s="76">
        <f>A321+1</f>
        <v>145</v>
      </c>
      <c r="B322" s="77" t="s">
        <v>385</v>
      </c>
      <c r="C322" s="78" t="s">
        <v>106</v>
      </c>
      <c r="D322" s="79" t="s">
        <v>20</v>
      </c>
      <c r="E322" s="176">
        <v>6</v>
      </c>
      <c r="F322" s="262"/>
      <c r="G322" s="80">
        <f aca="true" t="shared" si="15" ref="G322:G329">E322*F322</f>
        <v>0</v>
      </c>
      <c r="H322" s="127" t="s">
        <v>174</v>
      </c>
    </row>
    <row r="323" spans="1:8" ht="12.75">
      <c r="A323" s="76">
        <f aca="true" t="shared" si="16" ref="A323:A329">A322+1</f>
        <v>146</v>
      </c>
      <c r="B323" s="77" t="s">
        <v>385</v>
      </c>
      <c r="C323" s="78" t="s">
        <v>401</v>
      </c>
      <c r="D323" s="79" t="s">
        <v>20</v>
      </c>
      <c r="E323" s="176">
        <v>2</v>
      </c>
      <c r="F323" s="262"/>
      <c r="G323" s="80">
        <f t="shared" si="15"/>
        <v>0</v>
      </c>
      <c r="H323" s="127" t="s">
        <v>174</v>
      </c>
    </row>
    <row r="324" spans="1:8" ht="12.75">
      <c r="A324" s="76">
        <f t="shared" si="16"/>
        <v>147</v>
      </c>
      <c r="B324" s="77" t="s">
        <v>385</v>
      </c>
      <c r="C324" s="78" t="s">
        <v>160</v>
      </c>
      <c r="D324" s="79" t="s">
        <v>20</v>
      </c>
      <c r="E324" s="176">
        <v>1</v>
      </c>
      <c r="F324" s="262"/>
      <c r="G324" s="80">
        <f t="shared" si="15"/>
        <v>0</v>
      </c>
      <c r="H324" s="127" t="s">
        <v>174</v>
      </c>
    </row>
    <row r="325" spans="1:8" ht="25.5">
      <c r="A325" s="76">
        <f t="shared" si="16"/>
        <v>148</v>
      </c>
      <c r="B325" s="77" t="s">
        <v>385</v>
      </c>
      <c r="C325" s="78" t="s">
        <v>402</v>
      </c>
      <c r="D325" s="79" t="s">
        <v>20</v>
      </c>
      <c r="E325" s="176">
        <v>1</v>
      </c>
      <c r="F325" s="262"/>
      <c r="G325" s="80">
        <f t="shared" si="15"/>
        <v>0</v>
      </c>
      <c r="H325" s="127" t="s">
        <v>174</v>
      </c>
    </row>
    <row r="326" spans="1:8" ht="25.5">
      <c r="A326" s="76">
        <f t="shared" si="16"/>
        <v>149</v>
      </c>
      <c r="B326" s="77" t="s">
        <v>385</v>
      </c>
      <c r="C326" s="78" t="s">
        <v>403</v>
      </c>
      <c r="D326" s="79" t="s">
        <v>20</v>
      </c>
      <c r="E326" s="176">
        <v>1</v>
      </c>
      <c r="F326" s="262"/>
      <c r="G326" s="80">
        <f t="shared" si="15"/>
        <v>0</v>
      </c>
      <c r="H326" s="127" t="s">
        <v>174</v>
      </c>
    </row>
    <row r="327" spans="1:8" ht="12.75">
      <c r="A327" s="76">
        <f t="shared" si="16"/>
        <v>150</v>
      </c>
      <c r="B327" s="77" t="s">
        <v>385</v>
      </c>
      <c r="C327" s="78" t="s">
        <v>404</v>
      </c>
      <c r="D327" s="79" t="s">
        <v>20</v>
      </c>
      <c r="E327" s="176">
        <v>1</v>
      </c>
      <c r="F327" s="262"/>
      <c r="G327" s="80">
        <f t="shared" si="15"/>
        <v>0</v>
      </c>
      <c r="H327" s="127" t="s">
        <v>174</v>
      </c>
    </row>
    <row r="328" spans="1:8" ht="12.75">
      <c r="A328" s="76">
        <f t="shared" si="16"/>
        <v>151</v>
      </c>
      <c r="B328" s="77" t="s">
        <v>29</v>
      </c>
      <c r="C328" s="78" t="s">
        <v>105</v>
      </c>
      <c r="D328" s="79" t="s">
        <v>26</v>
      </c>
      <c r="E328" s="176">
        <f>SUM(G303,G305,G306,G308,G309,G312:G314,G315:G327)</f>
        <v>0</v>
      </c>
      <c r="F328" s="264"/>
      <c r="G328" s="80">
        <f t="shared" si="15"/>
        <v>0</v>
      </c>
      <c r="H328" s="127" t="s">
        <v>174</v>
      </c>
    </row>
    <row r="329" spans="1:8" ht="12.75" customHeight="1" thickBot="1">
      <c r="A329" s="76">
        <f t="shared" si="16"/>
        <v>152</v>
      </c>
      <c r="B329" s="77"/>
      <c r="C329" s="78" t="s">
        <v>43</v>
      </c>
      <c r="D329" s="110" t="s">
        <v>26</v>
      </c>
      <c r="E329" s="176">
        <f>+E328</f>
        <v>0</v>
      </c>
      <c r="F329" s="268"/>
      <c r="G329" s="111">
        <f t="shared" si="15"/>
        <v>0</v>
      </c>
      <c r="H329" s="127" t="s">
        <v>174</v>
      </c>
    </row>
    <row r="330" spans="1:8" ht="13.5" thickBot="1">
      <c r="A330" s="76"/>
      <c r="B330" s="77"/>
      <c r="C330" s="102" t="s">
        <v>19</v>
      </c>
      <c r="D330" s="103"/>
      <c r="E330" s="179"/>
      <c r="F330" s="265"/>
      <c r="G330" s="94">
        <f>SUBTOTAL(9,G302:G329)</f>
        <v>0</v>
      </c>
      <c r="H330" s="153"/>
    </row>
    <row r="331" spans="1:8" ht="12.75">
      <c r="A331" s="76"/>
      <c r="B331" s="77"/>
      <c r="C331" s="95"/>
      <c r="D331" s="96"/>
      <c r="E331" s="166"/>
      <c r="F331" s="251"/>
      <c r="G331" s="97"/>
      <c r="H331" s="127"/>
    </row>
    <row r="332" spans="1:8" ht="16.5">
      <c r="A332" s="76"/>
      <c r="B332" s="98" t="s">
        <v>49</v>
      </c>
      <c r="C332" s="72" t="s">
        <v>222</v>
      </c>
      <c r="D332" s="72"/>
      <c r="E332" s="72"/>
      <c r="F332" s="261"/>
      <c r="G332" s="72"/>
      <c r="H332" s="127"/>
    </row>
    <row r="333" spans="1:8" ht="15">
      <c r="A333" s="76"/>
      <c r="B333" s="71"/>
      <c r="C333" s="228" t="s">
        <v>520</v>
      </c>
      <c r="D333" s="228"/>
      <c r="E333" s="228"/>
      <c r="F333" s="259"/>
      <c r="G333" s="228"/>
      <c r="H333" s="127"/>
    </row>
    <row r="334" spans="1:8" ht="15">
      <c r="A334" s="76"/>
      <c r="B334" s="71"/>
      <c r="C334" s="228" t="s">
        <v>521</v>
      </c>
      <c r="D334" s="228"/>
      <c r="E334" s="228"/>
      <c r="F334" s="259"/>
      <c r="G334" s="228"/>
      <c r="H334" s="127"/>
    </row>
    <row r="335" spans="1:8" ht="15">
      <c r="A335" s="76"/>
      <c r="B335" s="71"/>
      <c r="C335" s="228" t="s">
        <v>522</v>
      </c>
      <c r="D335" s="228"/>
      <c r="E335" s="228"/>
      <c r="F335" s="259"/>
      <c r="G335" s="228"/>
      <c r="H335" s="127"/>
    </row>
    <row r="336" spans="1:8" ht="12.75">
      <c r="A336" s="76">
        <f>+A329+1</f>
        <v>153</v>
      </c>
      <c r="B336" s="77"/>
      <c r="C336" s="78" t="s">
        <v>100</v>
      </c>
      <c r="D336" s="79" t="s">
        <v>103</v>
      </c>
      <c r="E336" s="176">
        <v>1</v>
      </c>
      <c r="F336" s="272">
        <f>+ESA_ESI!H37</f>
        <v>0</v>
      </c>
      <c r="G336" s="80">
        <f>E336*F336</f>
        <v>0</v>
      </c>
      <c r="H336" s="127" t="s">
        <v>174</v>
      </c>
    </row>
    <row r="337" spans="1:8" ht="12.75">
      <c r="A337" s="76">
        <f>A336+1</f>
        <v>154</v>
      </c>
      <c r="B337" s="77"/>
      <c r="C337" s="78" t="s">
        <v>101</v>
      </c>
      <c r="D337" s="79" t="s">
        <v>103</v>
      </c>
      <c r="E337" s="176">
        <v>1</v>
      </c>
      <c r="F337" s="272">
        <f>+ESA_ESI!H49</f>
        <v>0</v>
      </c>
      <c r="G337" s="80">
        <f>E337*F337</f>
        <v>0</v>
      </c>
      <c r="H337" s="127" t="s">
        <v>174</v>
      </c>
    </row>
    <row r="338" spans="1:8" ht="13.5" thickBot="1">
      <c r="A338" s="86">
        <f>A337+1</f>
        <v>155</v>
      </c>
      <c r="B338" s="87"/>
      <c r="C338" s="82" t="s">
        <v>374</v>
      </c>
      <c r="D338" s="88" t="s">
        <v>103</v>
      </c>
      <c r="E338" s="177">
        <v>1</v>
      </c>
      <c r="F338" s="272">
        <f>0.9*ESA_ESI!H69</f>
        <v>0</v>
      </c>
      <c r="G338" s="90">
        <f>E338*F338</f>
        <v>0</v>
      </c>
      <c r="H338" s="125" t="s">
        <v>174</v>
      </c>
    </row>
    <row r="339" spans="1:8" ht="13.5" thickBot="1">
      <c r="A339" s="76"/>
      <c r="B339" s="77"/>
      <c r="C339" s="102" t="s">
        <v>19</v>
      </c>
      <c r="D339" s="103"/>
      <c r="E339" s="179"/>
      <c r="F339" s="265"/>
      <c r="G339" s="94">
        <f>SUBTOTAL(9,G336:G338)</f>
        <v>0</v>
      </c>
      <c r="H339" s="157"/>
    </row>
    <row r="340" spans="1:8" ht="12.75">
      <c r="A340" s="76"/>
      <c r="B340" s="77"/>
      <c r="C340" s="95"/>
      <c r="D340" s="96"/>
      <c r="E340" s="166"/>
      <c r="F340" s="251"/>
      <c r="G340" s="97"/>
      <c r="H340" s="158"/>
    </row>
    <row r="341" spans="1:8" ht="16.5">
      <c r="A341" s="76"/>
      <c r="B341" s="98" t="s">
        <v>92</v>
      </c>
      <c r="C341" s="72" t="s">
        <v>223</v>
      </c>
      <c r="D341" s="72"/>
      <c r="E341" s="72"/>
      <c r="F341" s="261"/>
      <c r="G341" s="72"/>
      <c r="H341" s="127"/>
    </row>
    <row r="342" spans="1:8" ht="15">
      <c r="A342" s="76"/>
      <c r="B342" s="71"/>
      <c r="C342" s="228" t="s">
        <v>523</v>
      </c>
      <c r="D342" s="228"/>
      <c r="E342" s="228"/>
      <c r="F342" s="259"/>
      <c r="G342" s="228"/>
      <c r="H342" s="127"/>
    </row>
    <row r="343" spans="1:8" ht="15">
      <c r="A343" s="76"/>
      <c r="B343" s="71"/>
      <c r="C343" s="228" t="s">
        <v>521</v>
      </c>
      <c r="D343" s="228"/>
      <c r="E343" s="228"/>
      <c r="F343" s="259"/>
      <c r="G343" s="228"/>
      <c r="H343" s="127"/>
    </row>
    <row r="344" spans="1:8" ht="15">
      <c r="A344" s="76"/>
      <c r="B344" s="71"/>
      <c r="C344" s="228" t="s">
        <v>522</v>
      </c>
      <c r="D344" s="228"/>
      <c r="E344" s="228"/>
      <c r="F344" s="259"/>
      <c r="G344" s="228"/>
      <c r="H344" s="127"/>
    </row>
    <row r="345" spans="1:8" ht="12.75">
      <c r="A345" s="76">
        <f>+A338+1</f>
        <v>156</v>
      </c>
      <c r="B345" s="77"/>
      <c r="C345" s="78" t="s">
        <v>155</v>
      </c>
      <c r="D345" s="79" t="s">
        <v>103</v>
      </c>
      <c r="E345" s="176">
        <v>1</v>
      </c>
      <c r="F345" s="272">
        <f>+ESA_ESI!H65</f>
        <v>0</v>
      </c>
      <c r="G345" s="80">
        <f>E345*F345</f>
        <v>0</v>
      </c>
      <c r="H345" s="127" t="s">
        <v>174</v>
      </c>
    </row>
    <row r="346" spans="1:8" ht="13.5" thickBot="1">
      <c r="A346" s="76">
        <f>A345+1</f>
        <v>157</v>
      </c>
      <c r="B346" s="77"/>
      <c r="C346" s="82" t="s">
        <v>375</v>
      </c>
      <c r="D346" s="88" t="s">
        <v>103</v>
      </c>
      <c r="E346" s="177">
        <v>1</v>
      </c>
      <c r="F346" s="272">
        <f>0.1*ESA_ESI!H69</f>
        <v>0</v>
      </c>
      <c r="G346" s="90">
        <f>E346*F346</f>
        <v>0</v>
      </c>
      <c r="H346" s="125" t="s">
        <v>174</v>
      </c>
    </row>
    <row r="347" spans="1:8" ht="13.5" thickBot="1">
      <c r="A347" s="76"/>
      <c r="B347" s="77"/>
      <c r="C347" s="102" t="s">
        <v>19</v>
      </c>
      <c r="D347" s="103"/>
      <c r="E347" s="179"/>
      <c r="F347" s="265"/>
      <c r="G347" s="94">
        <f>SUBTOTAL(9,G345:G346)</f>
        <v>0</v>
      </c>
      <c r="H347" s="159"/>
    </row>
    <row r="348" spans="1:8" ht="14.25" customHeight="1" thickBot="1">
      <c r="A348" s="76"/>
      <c r="B348" s="77"/>
      <c r="C348" s="95"/>
      <c r="D348" s="96"/>
      <c r="E348" s="166"/>
      <c r="F348" s="251"/>
      <c r="G348" s="97"/>
      <c r="H348" s="127"/>
    </row>
    <row r="349" spans="1:8" ht="16.5">
      <c r="A349" s="76"/>
      <c r="B349" s="98" t="s">
        <v>93</v>
      </c>
      <c r="C349" s="200" t="s">
        <v>56</v>
      </c>
      <c r="D349" s="200"/>
      <c r="E349" s="200"/>
      <c r="F349" s="273"/>
      <c r="G349" s="200"/>
      <c r="H349" s="127"/>
    </row>
    <row r="350" spans="1:8" ht="15">
      <c r="A350" s="76"/>
      <c r="B350" s="71"/>
      <c r="C350" s="228" t="s">
        <v>524</v>
      </c>
      <c r="D350" s="228"/>
      <c r="E350" s="228"/>
      <c r="F350" s="259"/>
      <c r="G350" s="228"/>
      <c r="H350" s="127"/>
    </row>
    <row r="351" spans="1:8" ht="15">
      <c r="A351" s="76"/>
      <c r="B351" s="71"/>
      <c r="C351" s="229" t="s">
        <v>525</v>
      </c>
      <c r="D351" s="229"/>
      <c r="E351" s="229"/>
      <c r="F351" s="266"/>
      <c r="G351" s="229"/>
      <c r="H351" s="127"/>
    </row>
    <row r="352" spans="1:8" ht="15">
      <c r="A352" s="76"/>
      <c r="B352" s="71"/>
      <c r="C352" s="229" t="s">
        <v>526</v>
      </c>
      <c r="D352" s="229"/>
      <c r="E352" s="229"/>
      <c r="F352" s="266"/>
      <c r="G352" s="229"/>
      <c r="H352" s="127"/>
    </row>
    <row r="353" spans="1:8" ht="15">
      <c r="A353" s="76"/>
      <c r="B353" s="71"/>
      <c r="C353" s="229" t="s">
        <v>527</v>
      </c>
      <c r="D353" s="229"/>
      <c r="E353" s="229"/>
      <c r="F353" s="266"/>
      <c r="G353" s="229"/>
      <c r="H353" s="127"/>
    </row>
    <row r="354" spans="1:8" ht="15">
      <c r="A354" s="76"/>
      <c r="B354" s="71"/>
      <c r="C354" s="229" t="s">
        <v>528</v>
      </c>
      <c r="D354" s="229"/>
      <c r="E354" s="229"/>
      <c r="F354" s="266"/>
      <c r="G354" s="229"/>
      <c r="H354" s="127"/>
    </row>
    <row r="355" spans="1:18" s="51" customFormat="1" ht="12.75">
      <c r="A355" s="76">
        <f>A346+1</f>
        <v>158</v>
      </c>
      <c r="B355" s="87" t="s">
        <v>29</v>
      </c>
      <c r="C355" s="82" t="s">
        <v>405</v>
      </c>
      <c r="D355" s="88" t="s">
        <v>21</v>
      </c>
      <c r="E355" s="177">
        <f>E356</f>
        <v>9.2</v>
      </c>
      <c r="F355" s="262"/>
      <c r="G355" s="90">
        <f>E355*F355</f>
        <v>0</v>
      </c>
      <c r="H355" s="125" t="s">
        <v>180</v>
      </c>
      <c r="I355" s="5"/>
      <c r="R355" s="131"/>
    </row>
    <row r="356" spans="1:8" ht="25.5">
      <c r="A356" s="76">
        <f>A355+1</f>
        <v>159</v>
      </c>
      <c r="B356" s="106" t="s">
        <v>28</v>
      </c>
      <c r="C356" s="107" t="s">
        <v>302</v>
      </c>
      <c r="D356" s="108" t="s">
        <v>21</v>
      </c>
      <c r="E356" s="180">
        <v>9.2</v>
      </c>
      <c r="F356" s="267"/>
      <c r="G356" s="109">
        <f>E356*F356</f>
        <v>0</v>
      </c>
      <c r="H356" s="127" t="s">
        <v>180</v>
      </c>
    </row>
    <row r="357" spans="1:8" ht="12.75">
      <c r="A357" s="76">
        <f>A356+1</f>
        <v>160</v>
      </c>
      <c r="B357" s="106" t="s">
        <v>28</v>
      </c>
      <c r="C357" s="107" t="s">
        <v>303</v>
      </c>
      <c r="D357" s="108" t="s">
        <v>20</v>
      </c>
      <c r="E357" s="180">
        <v>2</v>
      </c>
      <c r="F357" s="267"/>
      <c r="G357" s="109">
        <f aca="true" t="shared" si="17" ref="G357:G363">E357*F357</f>
        <v>0</v>
      </c>
      <c r="H357" s="127" t="s">
        <v>180</v>
      </c>
    </row>
    <row r="358" spans="1:8" ht="12.75">
      <c r="A358" s="76">
        <f>A357+1</f>
        <v>161</v>
      </c>
      <c r="B358" s="106" t="s">
        <v>28</v>
      </c>
      <c r="C358" s="107" t="s">
        <v>304</v>
      </c>
      <c r="D358" s="108" t="s">
        <v>20</v>
      </c>
      <c r="E358" s="180">
        <v>2</v>
      </c>
      <c r="F358" s="267"/>
      <c r="G358" s="109">
        <f t="shared" si="17"/>
        <v>0</v>
      </c>
      <c r="H358" s="127" t="s">
        <v>180</v>
      </c>
    </row>
    <row r="359" spans="1:8" ht="12.75">
      <c r="A359" s="76">
        <f>A358+1</f>
        <v>162</v>
      </c>
      <c r="B359" s="106" t="s">
        <v>28</v>
      </c>
      <c r="C359" s="107" t="s">
        <v>305</v>
      </c>
      <c r="D359" s="108" t="s">
        <v>20</v>
      </c>
      <c r="E359" s="180">
        <v>2</v>
      </c>
      <c r="F359" s="267"/>
      <c r="G359" s="109">
        <f t="shared" si="17"/>
        <v>0</v>
      </c>
      <c r="H359" s="127" t="s">
        <v>180</v>
      </c>
    </row>
    <row r="360" spans="1:8" ht="12.75">
      <c r="A360" s="76">
        <f>A359+1</f>
        <v>163</v>
      </c>
      <c r="B360" s="106" t="s">
        <v>28</v>
      </c>
      <c r="C360" s="107" t="s">
        <v>310</v>
      </c>
      <c r="D360" s="108" t="s">
        <v>20</v>
      </c>
      <c r="E360" s="180">
        <v>1</v>
      </c>
      <c r="F360" s="267"/>
      <c r="G360" s="109">
        <f>E360*F360</f>
        <v>0</v>
      </c>
      <c r="H360" s="127" t="s">
        <v>180</v>
      </c>
    </row>
    <row r="361" spans="1:8" ht="12.75">
      <c r="A361" s="76">
        <f>A359+1</f>
        <v>163</v>
      </c>
      <c r="B361" s="106" t="s">
        <v>28</v>
      </c>
      <c r="C361" s="107" t="s">
        <v>306</v>
      </c>
      <c r="D361" s="108" t="s">
        <v>20</v>
      </c>
      <c r="E361" s="180">
        <v>1</v>
      </c>
      <c r="F361" s="267"/>
      <c r="G361" s="109">
        <f t="shared" si="17"/>
        <v>0</v>
      </c>
      <c r="H361" s="127" t="s">
        <v>180</v>
      </c>
    </row>
    <row r="362" spans="1:18" s="51" customFormat="1" ht="12.75">
      <c r="A362" s="76">
        <f>A360+1</f>
        <v>164</v>
      </c>
      <c r="B362" s="87" t="s">
        <v>29</v>
      </c>
      <c r="C362" s="82" t="s">
        <v>406</v>
      </c>
      <c r="D362" s="88" t="s">
        <v>21</v>
      </c>
      <c r="E362" s="177">
        <f>E363</f>
        <v>1</v>
      </c>
      <c r="F362" s="262"/>
      <c r="G362" s="90">
        <f t="shared" si="17"/>
        <v>0</v>
      </c>
      <c r="H362" s="125" t="s">
        <v>180</v>
      </c>
      <c r="I362" s="5"/>
      <c r="R362" s="131"/>
    </row>
    <row r="363" spans="1:8" ht="12.75">
      <c r="A363" s="76">
        <f>A361+1</f>
        <v>164</v>
      </c>
      <c r="B363" s="106" t="s">
        <v>28</v>
      </c>
      <c r="C363" s="107" t="s">
        <v>307</v>
      </c>
      <c r="D363" s="108" t="s">
        <v>21</v>
      </c>
      <c r="E363" s="180">
        <v>1</v>
      </c>
      <c r="F363" s="267"/>
      <c r="G363" s="109">
        <f t="shared" si="17"/>
        <v>0</v>
      </c>
      <c r="H363" s="127" t="s">
        <v>180</v>
      </c>
    </row>
    <row r="364" spans="1:18" s="51" customFormat="1" ht="12.75">
      <c r="A364" s="76">
        <f>A362+1</f>
        <v>165</v>
      </c>
      <c r="B364" s="87" t="s">
        <v>29</v>
      </c>
      <c r="C364" s="82" t="s">
        <v>407</v>
      </c>
      <c r="D364" s="88" t="s">
        <v>21</v>
      </c>
      <c r="E364" s="177">
        <f>E365</f>
        <v>1</v>
      </c>
      <c r="F364" s="262"/>
      <c r="G364" s="90">
        <f>E364*F364</f>
        <v>0</v>
      </c>
      <c r="H364" s="125" t="s">
        <v>180</v>
      </c>
      <c r="I364" s="5"/>
      <c r="R364" s="131"/>
    </row>
    <row r="365" spans="1:8" ht="12.75">
      <c r="A365" s="76">
        <f>A363+1</f>
        <v>165</v>
      </c>
      <c r="B365" s="106" t="s">
        <v>28</v>
      </c>
      <c r="C365" s="107" t="s">
        <v>309</v>
      </c>
      <c r="D365" s="108" t="s">
        <v>21</v>
      </c>
      <c r="E365" s="180">
        <v>1</v>
      </c>
      <c r="F365" s="267"/>
      <c r="G365" s="109">
        <f aca="true" t="shared" si="18" ref="G365:G371">E365*F365</f>
        <v>0</v>
      </c>
      <c r="H365" s="127" t="s">
        <v>180</v>
      </c>
    </row>
    <row r="366" spans="1:8" ht="12.75">
      <c r="A366" s="76">
        <f aca="true" t="shared" si="19" ref="A366:A371">A365+1</f>
        <v>166</v>
      </c>
      <c r="B366" s="106" t="s">
        <v>28</v>
      </c>
      <c r="C366" s="107" t="s">
        <v>308</v>
      </c>
      <c r="D366" s="108" t="s">
        <v>20</v>
      </c>
      <c r="E366" s="180">
        <v>1</v>
      </c>
      <c r="F366" s="267"/>
      <c r="G366" s="109">
        <f t="shared" si="18"/>
        <v>0</v>
      </c>
      <c r="H366" s="127" t="s">
        <v>180</v>
      </c>
    </row>
    <row r="367" spans="1:8" ht="12.75">
      <c r="A367" s="76">
        <f t="shared" si="19"/>
        <v>167</v>
      </c>
      <c r="B367" s="87" t="s">
        <v>29</v>
      </c>
      <c r="C367" s="82" t="s">
        <v>408</v>
      </c>
      <c r="D367" s="88" t="s">
        <v>20</v>
      </c>
      <c r="E367" s="177">
        <v>1</v>
      </c>
      <c r="F367" s="262"/>
      <c r="G367" s="90">
        <f t="shared" si="18"/>
        <v>0</v>
      </c>
      <c r="H367" s="125" t="s">
        <v>180</v>
      </c>
    </row>
    <row r="368" spans="1:8" ht="12.75">
      <c r="A368" s="76">
        <f t="shared" si="19"/>
        <v>168</v>
      </c>
      <c r="B368" s="106" t="s">
        <v>28</v>
      </c>
      <c r="C368" s="107" t="s">
        <v>409</v>
      </c>
      <c r="D368" s="108" t="s">
        <v>21</v>
      </c>
      <c r="E368" s="180">
        <v>1</v>
      </c>
      <c r="F368" s="267"/>
      <c r="G368" s="109">
        <f t="shared" si="18"/>
        <v>0</v>
      </c>
      <c r="H368" s="127" t="s">
        <v>180</v>
      </c>
    </row>
    <row r="369" spans="1:8" ht="12.75">
      <c r="A369" s="76">
        <f t="shared" si="19"/>
        <v>169</v>
      </c>
      <c r="B369" s="87" t="s">
        <v>29</v>
      </c>
      <c r="C369" s="82" t="s">
        <v>104</v>
      </c>
      <c r="D369" s="88" t="s">
        <v>26</v>
      </c>
      <c r="E369" s="177">
        <f>SUM(G357:G361,G366)</f>
        <v>0</v>
      </c>
      <c r="F369" s="264"/>
      <c r="G369" s="90">
        <f t="shared" si="18"/>
        <v>0</v>
      </c>
      <c r="H369" s="125" t="s">
        <v>180</v>
      </c>
    </row>
    <row r="370" spans="1:8" ht="15.75" customHeight="1">
      <c r="A370" s="76">
        <f t="shared" si="19"/>
        <v>170</v>
      </c>
      <c r="B370" s="87" t="s">
        <v>29</v>
      </c>
      <c r="C370" s="82" t="s">
        <v>105</v>
      </c>
      <c r="D370" s="88" t="s">
        <v>26</v>
      </c>
      <c r="E370" s="177">
        <f>SUM(G356:G361,G363,G365:G366,G368)</f>
        <v>0</v>
      </c>
      <c r="F370" s="264"/>
      <c r="G370" s="90">
        <f t="shared" si="18"/>
        <v>0</v>
      </c>
      <c r="H370" s="125" t="s">
        <v>180</v>
      </c>
    </row>
    <row r="371" spans="1:8" ht="13.5" thickBot="1">
      <c r="A371" s="76">
        <f t="shared" si="19"/>
        <v>171</v>
      </c>
      <c r="B371" s="87"/>
      <c r="C371" s="82" t="s">
        <v>43</v>
      </c>
      <c r="D371" s="119" t="s">
        <v>26</v>
      </c>
      <c r="E371" s="177">
        <f>+E370</f>
        <v>0</v>
      </c>
      <c r="F371" s="274"/>
      <c r="G371" s="120">
        <f t="shared" si="18"/>
        <v>0</v>
      </c>
      <c r="H371" s="125" t="s">
        <v>180</v>
      </c>
    </row>
    <row r="372" spans="1:8" ht="13.5" thickBot="1">
      <c r="A372" s="76"/>
      <c r="B372" s="77"/>
      <c r="C372" s="102" t="s">
        <v>19</v>
      </c>
      <c r="D372" s="103"/>
      <c r="E372" s="179"/>
      <c r="F372" s="265"/>
      <c r="G372" s="94">
        <f>SUM(G355:G371)</f>
        <v>0</v>
      </c>
      <c r="H372" s="160"/>
    </row>
    <row r="373" spans="1:7" ht="12.75">
      <c r="A373" s="76"/>
      <c r="B373" s="77"/>
      <c r="C373" s="95"/>
      <c r="D373" s="96"/>
      <c r="E373" s="166"/>
      <c r="F373" s="251"/>
      <c r="G373" s="97"/>
    </row>
    <row r="374" spans="1:7" ht="16.5">
      <c r="A374" s="86"/>
      <c r="B374" s="118" t="s">
        <v>94</v>
      </c>
      <c r="C374" s="201" t="s">
        <v>288</v>
      </c>
      <c r="D374" s="201"/>
      <c r="E374" s="201"/>
      <c r="F374" s="269"/>
      <c r="G374" s="201"/>
    </row>
    <row r="375" spans="1:8" ht="15">
      <c r="A375" s="76"/>
      <c r="B375" s="71"/>
      <c r="C375" s="228" t="s">
        <v>529</v>
      </c>
      <c r="D375" s="228"/>
      <c r="E375" s="228"/>
      <c r="F375" s="259"/>
      <c r="G375" s="228"/>
      <c r="H375" s="127"/>
    </row>
    <row r="376" spans="1:8" ht="15">
      <c r="A376" s="76"/>
      <c r="B376" s="71"/>
      <c r="C376" s="228" t="s">
        <v>530</v>
      </c>
      <c r="D376" s="228"/>
      <c r="E376" s="228"/>
      <c r="F376" s="259"/>
      <c r="G376" s="228"/>
      <c r="H376" s="127"/>
    </row>
    <row r="377" spans="1:8" ht="15">
      <c r="A377" s="76"/>
      <c r="B377" s="71"/>
      <c r="C377" s="228" t="s">
        <v>531</v>
      </c>
      <c r="D377" s="228"/>
      <c r="E377" s="228"/>
      <c r="F377" s="259"/>
      <c r="G377" s="228"/>
      <c r="H377" s="127"/>
    </row>
    <row r="378" spans="1:8" ht="15">
      <c r="A378" s="76"/>
      <c r="B378" s="71"/>
      <c r="C378" s="228" t="s">
        <v>532</v>
      </c>
      <c r="D378" s="228"/>
      <c r="E378" s="228"/>
      <c r="F378" s="259"/>
      <c r="G378" s="228"/>
      <c r="H378" s="127"/>
    </row>
    <row r="379" spans="1:8" ht="15">
      <c r="A379" s="76"/>
      <c r="B379" s="71"/>
      <c r="C379" s="228" t="s">
        <v>533</v>
      </c>
      <c r="D379" s="228"/>
      <c r="E379" s="228"/>
      <c r="F379" s="259"/>
      <c r="G379" s="228"/>
      <c r="H379" s="127"/>
    </row>
    <row r="380" spans="1:8" ht="15">
      <c r="A380" s="76"/>
      <c r="B380" s="71"/>
      <c r="C380" s="228" t="s">
        <v>534</v>
      </c>
      <c r="D380" s="228"/>
      <c r="E380" s="228"/>
      <c r="F380" s="259"/>
      <c r="G380" s="228"/>
      <c r="H380" s="127"/>
    </row>
    <row r="381" spans="1:9" ht="12.75">
      <c r="A381" s="86">
        <f>A371+1</f>
        <v>172</v>
      </c>
      <c r="B381" s="87" t="s">
        <v>385</v>
      </c>
      <c r="C381" s="82" t="s">
        <v>346</v>
      </c>
      <c r="D381" s="88" t="s">
        <v>21</v>
      </c>
      <c r="E381" s="177">
        <v>38</v>
      </c>
      <c r="F381" s="262"/>
      <c r="G381" s="90">
        <f>E381*F381</f>
        <v>0</v>
      </c>
      <c r="H381" s="125" t="s">
        <v>174</v>
      </c>
      <c r="I381" s="193"/>
    </row>
    <row r="382" spans="1:9" ht="12.75">
      <c r="A382" s="86">
        <f>A381+1</f>
        <v>173</v>
      </c>
      <c r="B382" s="87" t="s">
        <v>385</v>
      </c>
      <c r="C382" s="82" t="s">
        <v>347</v>
      </c>
      <c r="D382" s="88" t="s">
        <v>21</v>
      </c>
      <c r="E382" s="177">
        <v>18</v>
      </c>
      <c r="F382" s="262"/>
      <c r="G382" s="90">
        <f aca="true" t="shared" si="20" ref="G382:G399">E382*F382</f>
        <v>0</v>
      </c>
      <c r="H382" s="125" t="s">
        <v>174</v>
      </c>
      <c r="I382" s="193"/>
    </row>
    <row r="383" spans="1:8" ht="12.75">
      <c r="A383" s="86">
        <f aca="true" t="shared" si="21" ref="A383:A399">A382+1</f>
        <v>174</v>
      </c>
      <c r="B383" s="87" t="s">
        <v>385</v>
      </c>
      <c r="C383" s="82" t="s">
        <v>348</v>
      </c>
      <c r="D383" s="88" t="s">
        <v>21</v>
      </c>
      <c r="E383" s="177">
        <v>16</v>
      </c>
      <c r="F383" s="262"/>
      <c r="G383" s="90">
        <f t="shared" si="20"/>
        <v>0</v>
      </c>
      <c r="H383" s="125" t="s">
        <v>174</v>
      </c>
    </row>
    <row r="384" spans="1:8" ht="12.75">
      <c r="A384" s="86">
        <f t="shared" si="21"/>
        <v>175</v>
      </c>
      <c r="B384" s="87" t="s">
        <v>29</v>
      </c>
      <c r="C384" s="82" t="s">
        <v>412</v>
      </c>
      <c r="D384" s="88" t="s">
        <v>21</v>
      </c>
      <c r="E384" s="177">
        <f>+E381+E382+E383</f>
        <v>72</v>
      </c>
      <c r="F384" s="262"/>
      <c r="G384" s="90">
        <f t="shared" si="20"/>
        <v>0</v>
      </c>
      <c r="H384" s="125" t="s">
        <v>174</v>
      </c>
    </row>
    <row r="385" spans="1:8" ht="12.75">
      <c r="A385" s="86">
        <f t="shared" si="21"/>
        <v>176</v>
      </c>
      <c r="B385" s="87" t="s">
        <v>385</v>
      </c>
      <c r="C385" s="82" t="s">
        <v>349</v>
      </c>
      <c r="D385" s="82" t="s">
        <v>20</v>
      </c>
      <c r="E385" s="177">
        <v>1</v>
      </c>
      <c r="F385" s="262"/>
      <c r="G385" s="90">
        <f t="shared" si="20"/>
        <v>0</v>
      </c>
      <c r="H385" s="125" t="s">
        <v>174</v>
      </c>
    </row>
    <row r="386" spans="1:8" ht="12.75">
      <c r="A386" s="86">
        <f t="shared" si="21"/>
        <v>177</v>
      </c>
      <c r="B386" s="87"/>
      <c r="C386" s="82" t="s">
        <v>350</v>
      </c>
      <c r="D386" s="82" t="s">
        <v>20</v>
      </c>
      <c r="E386" s="177">
        <v>1</v>
      </c>
      <c r="F386" s="262"/>
      <c r="G386" s="90">
        <f t="shared" si="20"/>
        <v>0</v>
      </c>
      <c r="H386" s="125" t="s">
        <v>174</v>
      </c>
    </row>
    <row r="387" spans="1:8" ht="12.75">
      <c r="A387" s="86">
        <f t="shared" si="21"/>
        <v>178</v>
      </c>
      <c r="B387" s="87"/>
      <c r="C387" s="82" t="s">
        <v>351</v>
      </c>
      <c r="D387" s="82" t="s">
        <v>20</v>
      </c>
      <c r="E387" s="177">
        <v>4</v>
      </c>
      <c r="F387" s="262"/>
      <c r="G387" s="90">
        <f t="shared" si="20"/>
        <v>0</v>
      </c>
      <c r="H387" s="125" t="s">
        <v>174</v>
      </c>
    </row>
    <row r="388" spans="1:8" ht="12.75">
      <c r="A388" s="86">
        <f t="shared" si="21"/>
        <v>179</v>
      </c>
      <c r="B388" s="87" t="s">
        <v>385</v>
      </c>
      <c r="C388" s="82" t="s">
        <v>352</v>
      </c>
      <c r="D388" s="82" t="s">
        <v>20</v>
      </c>
      <c r="E388" s="177">
        <v>6</v>
      </c>
      <c r="F388" s="262"/>
      <c r="G388" s="90">
        <f t="shared" si="20"/>
        <v>0</v>
      </c>
      <c r="H388" s="125" t="s">
        <v>174</v>
      </c>
    </row>
    <row r="389" spans="1:9" ht="25.5">
      <c r="A389" s="86">
        <f t="shared" si="21"/>
        <v>180</v>
      </c>
      <c r="B389" s="87" t="s">
        <v>385</v>
      </c>
      <c r="C389" s="82" t="s">
        <v>411</v>
      </c>
      <c r="D389" s="82" t="s">
        <v>20</v>
      </c>
      <c r="E389" s="177">
        <v>5</v>
      </c>
      <c r="F389" s="262"/>
      <c r="G389" s="90">
        <f t="shared" si="20"/>
        <v>0</v>
      </c>
      <c r="H389" s="125" t="s">
        <v>174</v>
      </c>
      <c r="I389" s="193"/>
    </row>
    <row r="390" spans="1:9" ht="25.5">
      <c r="A390" s="86">
        <f t="shared" si="21"/>
        <v>181</v>
      </c>
      <c r="B390" s="87" t="s">
        <v>385</v>
      </c>
      <c r="C390" s="82" t="s">
        <v>353</v>
      </c>
      <c r="D390" s="82" t="s">
        <v>20</v>
      </c>
      <c r="E390" s="177">
        <v>1</v>
      </c>
      <c r="F390" s="262"/>
      <c r="G390" s="90">
        <f t="shared" si="20"/>
        <v>0</v>
      </c>
      <c r="H390" s="125" t="s">
        <v>174</v>
      </c>
      <c r="I390" s="193"/>
    </row>
    <row r="391" spans="1:9" ht="25.5">
      <c r="A391" s="86">
        <f t="shared" si="21"/>
        <v>182</v>
      </c>
      <c r="B391" s="87" t="s">
        <v>385</v>
      </c>
      <c r="C391" s="82" t="s">
        <v>354</v>
      </c>
      <c r="D391" s="82" t="s">
        <v>20</v>
      </c>
      <c r="E391" s="177">
        <v>3</v>
      </c>
      <c r="F391" s="262"/>
      <c r="G391" s="90">
        <f t="shared" si="20"/>
        <v>0</v>
      </c>
      <c r="H391" s="125" t="s">
        <v>174</v>
      </c>
      <c r="I391" s="193"/>
    </row>
    <row r="392" spans="1:9" ht="25.5">
      <c r="A392" s="86">
        <f t="shared" si="21"/>
        <v>183</v>
      </c>
      <c r="B392" s="87" t="s">
        <v>385</v>
      </c>
      <c r="C392" s="82" t="s">
        <v>355</v>
      </c>
      <c r="D392" s="82" t="s">
        <v>20</v>
      </c>
      <c r="E392" s="177">
        <v>1</v>
      </c>
      <c r="F392" s="262"/>
      <c r="G392" s="90">
        <f t="shared" si="20"/>
        <v>0</v>
      </c>
      <c r="H392" s="125" t="s">
        <v>174</v>
      </c>
      <c r="I392" s="193"/>
    </row>
    <row r="393" spans="1:8" ht="25.5">
      <c r="A393" s="86">
        <f t="shared" si="21"/>
        <v>184</v>
      </c>
      <c r="B393" s="87"/>
      <c r="C393" s="82" t="s">
        <v>356</v>
      </c>
      <c r="D393" s="82" t="s">
        <v>21</v>
      </c>
      <c r="E393" s="177">
        <v>29</v>
      </c>
      <c r="F393" s="262"/>
      <c r="G393" s="90">
        <f t="shared" si="20"/>
        <v>0</v>
      </c>
      <c r="H393" s="125" t="s">
        <v>174</v>
      </c>
    </row>
    <row r="394" spans="1:8" ht="25.5">
      <c r="A394" s="86">
        <f t="shared" si="21"/>
        <v>185</v>
      </c>
      <c r="B394" s="87"/>
      <c r="C394" s="82" t="s">
        <v>357</v>
      </c>
      <c r="D394" s="82" t="s">
        <v>21</v>
      </c>
      <c r="E394" s="177">
        <v>14</v>
      </c>
      <c r="F394" s="262"/>
      <c r="G394" s="90">
        <f t="shared" si="20"/>
        <v>0</v>
      </c>
      <c r="H394" s="125" t="s">
        <v>174</v>
      </c>
    </row>
    <row r="395" spans="1:8" ht="25.5">
      <c r="A395" s="86">
        <f t="shared" si="21"/>
        <v>186</v>
      </c>
      <c r="B395" s="87"/>
      <c r="C395" s="82" t="s">
        <v>358</v>
      </c>
      <c r="D395" s="88" t="s">
        <v>21</v>
      </c>
      <c r="E395" s="177">
        <v>12</v>
      </c>
      <c r="F395" s="262"/>
      <c r="G395" s="90">
        <f t="shared" si="20"/>
        <v>0</v>
      </c>
      <c r="H395" s="125" t="s">
        <v>174</v>
      </c>
    </row>
    <row r="396" spans="1:8" ht="12.75">
      <c r="A396" s="86">
        <f t="shared" si="21"/>
        <v>187</v>
      </c>
      <c r="B396" s="87"/>
      <c r="C396" s="82" t="s">
        <v>410</v>
      </c>
      <c r="D396" s="88" t="s">
        <v>17</v>
      </c>
      <c r="E396" s="177">
        <v>1</v>
      </c>
      <c r="F396" s="262"/>
      <c r="G396" s="90">
        <f t="shared" si="20"/>
        <v>0</v>
      </c>
      <c r="H396" s="125" t="s">
        <v>174</v>
      </c>
    </row>
    <row r="397" spans="1:8" ht="12.75">
      <c r="A397" s="86">
        <f t="shared" si="21"/>
        <v>188</v>
      </c>
      <c r="B397" s="87"/>
      <c r="C397" s="82" t="s">
        <v>359</v>
      </c>
      <c r="D397" s="88" t="s">
        <v>17</v>
      </c>
      <c r="E397" s="177">
        <v>1</v>
      </c>
      <c r="F397" s="262"/>
      <c r="G397" s="90">
        <f t="shared" si="20"/>
        <v>0</v>
      </c>
      <c r="H397" s="125" t="s">
        <v>174</v>
      </c>
    </row>
    <row r="398" spans="1:8" ht="12.75">
      <c r="A398" s="86">
        <f t="shared" si="21"/>
        <v>189</v>
      </c>
      <c r="B398" s="87"/>
      <c r="C398" s="82" t="s">
        <v>360</v>
      </c>
      <c r="D398" s="88" t="s">
        <v>17</v>
      </c>
      <c r="E398" s="177">
        <v>1</v>
      </c>
      <c r="F398" s="262"/>
      <c r="G398" s="90">
        <f t="shared" si="20"/>
        <v>0</v>
      </c>
      <c r="H398" s="125" t="s">
        <v>174</v>
      </c>
    </row>
    <row r="399" spans="1:8" ht="13.5" thickBot="1">
      <c r="A399" s="86">
        <f t="shared" si="21"/>
        <v>190</v>
      </c>
      <c r="B399" s="87"/>
      <c r="C399" s="82" t="s">
        <v>43</v>
      </c>
      <c r="D399" s="88" t="s">
        <v>26</v>
      </c>
      <c r="E399" s="177">
        <f>SUM(G381:G383,G385:G396)</f>
        <v>0</v>
      </c>
      <c r="F399" s="274"/>
      <c r="G399" s="120">
        <f t="shared" si="20"/>
        <v>0</v>
      </c>
      <c r="H399" s="125" t="s">
        <v>174</v>
      </c>
    </row>
    <row r="400" spans="1:8" ht="13.5" thickBot="1">
      <c r="A400" s="86"/>
      <c r="B400" s="87"/>
      <c r="C400" s="102" t="s">
        <v>19</v>
      </c>
      <c r="D400" s="103"/>
      <c r="E400" s="183"/>
      <c r="F400" s="271"/>
      <c r="G400" s="94">
        <f>SUBTOTAL(9,G381:G399)</f>
        <v>0</v>
      </c>
      <c r="H400" s="160"/>
    </row>
    <row r="401" spans="1:8" ht="12.75">
      <c r="A401" s="76"/>
      <c r="B401" s="77"/>
      <c r="C401" s="95"/>
      <c r="D401" s="96"/>
      <c r="E401" s="166"/>
      <c r="F401" s="251"/>
      <c r="G401" s="97"/>
      <c r="H401" s="127"/>
    </row>
    <row r="402" spans="1:8" ht="16.5">
      <c r="A402" s="76"/>
      <c r="B402" s="98" t="s">
        <v>95</v>
      </c>
      <c r="C402" s="72" t="s">
        <v>57</v>
      </c>
      <c r="D402" s="72"/>
      <c r="E402" s="72"/>
      <c r="F402" s="261"/>
      <c r="G402" s="72"/>
      <c r="H402" s="127"/>
    </row>
    <row r="403" spans="1:8" ht="15">
      <c r="A403" s="76"/>
      <c r="B403" s="71"/>
      <c r="C403" s="228" t="s">
        <v>535</v>
      </c>
      <c r="D403" s="228"/>
      <c r="E403" s="228"/>
      <c r="F403" s="259"/>
      <c r="G403" s="228"/>
      <c r="H403" s="127"/>
    </row>
    <row r="404" spans="1:8" ht="15">
      <c r="A404" s="76"/>
      <c r="B404" s="71"/>
      <c r="C404" s="228" t="s">
        <v>536</v>
      </c>
      <c r="D404" s="228"/>
      <c r="E404" s="228"/>
      <c r="F404" s="259"/>
      <c r="G404" s="228"/>
      <c r="H404" s="127"/>
    </row>
    <row r="405" spans="1:8" ht="15">
      <c r="A405" s="76"/>
      <c r="B405" s="71"/>
      <c r="C405" s="228" t="s">
        <v>537</v>
      </c>
      <c r="D405" s="228"/>
      <c r="E405" s="228"/>
      <c r="F405" s="259"/>
      <c r="G405" s="228"/>
      <c r="H405" s="127"/>
    </row>
    <row r="406" spans="1:8" ht="15">
      <c r="A406" s="76"/>
      <c r="B406" s="71"/>
      <c r="C406" s="228" t="s">
        <v>538</v>
      </c>
      <c r="D406" s="228"/>
      <c r="E406" s="228"/>
      <c r="F406" s="259"/>
      <c r="G406" s="228"/>
      <c r="H406" s="127"/>
    </row>
    <row r="407" spans="1:8" ht="15">
      <c r="A407" s="76"/>
      <c r="B407" s="71"/>
      <c r="C407" s="228" t="s">
        <v>539</v>
      </c>
      <c r="D407" s="228"/>
      <c r="E407" s="228"/>
      <c r="F407" s="259"/>
      <c r="G407" s="228"/>
      <c r="H407" s="127"/>
    </row>
    <row r="408" spans="1:8" ht="12.75">
      <c r="A408" s="76">
        <f>A399+1</f>
        <v>191</v>
      </c>
      <c r="B408" s="77" t="s">
        <v>279</v>
      </c>
      <c r="C408" s="78" t="s">
        <v>419</v>
      </c>
      <c r="D408" s="79" t="s">
        <v>20</v>
      </c>
      <c r="E408" s="176">
        <f>+E410+E411+E412+E413</f>
        <v>6</v>
      </c>
      <c r="F408" s="262"/>
      <c r="G408" s="80">
        <f aca="true" t="shared" si="22" ref="G408:G420">E408*F408</f>
        <v>0</v>
      </c>
      <c r="H408" s="127" t="s">
        <v>174</v>
      </c>
    </row>
    <row r="409" spans="1:8" ht="12.75">
      <c r="A409" s="76">
        <f aca="true" t="shared" si="23" ref="A409:A419">A408+1</f>
        <v>192</v>
      </c>
      <c r="B409" s="77" t="s">
        <v>280</v>
      </c>
      <c r="C409" s="78" t="s">
        <v>281</v>
      </c>
      <c r="D409" s="79" t="s">
        <v>20</v>
      </c>
      <c r="E409" s="176">
        <v>1</v>
      </c>
      <c r="F409" s="262"/>
      <c r="G409" s="80">
        <f aca="true" t="shared" si="24" ref="G409:G414">E409*F409</f>
        <v>0</v>
      </c>
      <c r="H409" s="127" t="s">
        <v>174</v>
      </c>
    </row>
    <row r="410" spans="1:8" ht="25.5">
      <c r="A410" s="76">
        <f t="shared" si="23"/>
        <v>193</v>
      </c>
      <c r="B410" s="77" t="s">
        <v>81</v>
      </c>
      <c r="C410" s="78" t="s">
        <v>413</v>
      </c>
      <c r="D410" s="79" t="s">
        <v>20</v>
      </c>
      <c r="E410" s="176">
        <v>2</v>
      </c>
      <c r="F410" s="262"/>
      <c r="G410" s="80">
        <f t="shared" si="24"/>
        <v>0</v>
      </c>
      <c r="H410" s="127" t="s">
        <v>174</v>
      </c>
    </row>
    <row r="411" spans="1:8" ht="25.5">
      <c r="A411" s="76">
        <f t="shared" si="23"/>
        <v>194</v>
      </c>
      <c r="B411" s="77" t="s">
        <v>161</v>
      </c>
      <c r="C411" s="78" t="s">
        <v>414</v>
      </c>
      <c r="D411" s="79" t="s">
        <v>20</v>
      </c>
      <c r="E411" s="176">
        <v>2</v>
      </c>
      <c r="F411" s="262"/>
      <c r="G411" s="80">
        <f t="shared" si="24"/>
        <v>0</v>
      </c>
      <c r="H411" s="127" t="s">
        <v>174</v>
      </c>
    </row>
    <row r="412" spans="1:8" ht="25.5">
      <c r="A412" s="76">
        <f t="shared" si="23"/>
        <v>195</v>
      </c>
      <c r="B412" s="77" t="s">
        <v>207</v>
      </c>
      <c r="C412" s="78" t="s">
        <v>415</v>
      </c>
      <c r="D412" s="79" t="s">
        <v>20</v>
      </c>
      <c r="E412" s="176">
        <v>1</v>
      </c>
      <c r="F412" s="262"/>
      <c r="G412" s="80">
        <f t="shared" si="24"/>
        <v>0</v>
      </c>
      <c r="H412" s="127" t="s">
        <v>174</v>
      </c>
    </row>
    <row r="413" spans="1:8" ht="25.5">
      <c r="A413" s="76">
        <f t="shared" si="23"/>
        <v>196</v>
      </c>
      <c r="B413" s="77" t="s">
        <v>80</v>
      </c>
      <c r="C413" s="78" t="s">
        <v>416</v>
      </c>
      <c r="D413" s="79" t="s">
        <v>20</v>
      </c>
      <c r="E413" s="176">
        <v>1</v>
      </c>
      <c r="F413" s="262"/>
      <c r="G413" s="80">
        <f t="shared" si="24"/>
        <v>0</v>
      </c>
      <c r="H413" s="127" t="s">
        <v>174</v>
      </c>
    </row>
    <row r="414" spans="1:8" ht="12.75">
      <c r="A414" s="76">
        <f t="shared" si="23"/>
        <v>197</v>
      </c>
      <c r="B414" s="77" t="s">
        <v>29</v>
      </c>
      <c r="C414" s="78" t="s">
        <v>417</v>
      </c>
      <c r="D414" s="79" t="s">
        <v>20</v>
      </c>
      <c r="E414" s="176">
        <f>SUM(E410:E413)</f>
        <v>6</v>
      </c>
      <c r="F414" s="262"/>
      <c r="G414" s="80">
        <f t="shared" si="24"/>
        <v>0</v>
      </c>
      <c r="H414" s="127" t="s">
        <v>174</v>
      </c>
    </row>
    <row r="415" spans="1:8" ht="25.5">
      <c r="A415" s="76">
        <f t="shared" si="23"/>
        <v>198</v>
      </c>
      <c r="B415" s="77" t="s">
        <v>201</v>
      </c>
      <c r="C415" s="78" t="s">
        <v>278</v>
      </c>
      <c r="D415" s="79" t="s">
        <v>20</v>
      </c>
      <c r="E415" s="176">
        <v>1</v>
      </c>
      <c r="F415" s="262"/>
      <c r="G415" s="80">
        <f t="shared" si="22"/>
        <v>0</v>
      </c>
      <c r="H415" s="127" t="s">
        <v>174</v>
      </c>
    </row>
    <row r="416" spans="1:8" ht="12.75">
      <c r="A416" s="76">
        <f t="shared" si="23"/>
        <v>199</v>
      </c>
      <c r="B416" s="77"/>
      <c r="C416" s="78" t="s">
        <v>98</v>
      </c>
      <c r="D416" s="79" t="s">
        <v>20</v>
      </c>
      <c r="E416" s="176">
        <v>1</v>
      </c>
      <c r="F416" s="262"/>
      <c r="G416" s="80">
        <f t="shared" si="22"/>
        <v>0</v>
      </c>
      <c r="H416" s="127" t="s">
        <v>174</v>
      </c>
    </row>
    <row r="417" spans="1:15" ht="39">
      <c r="A417" s="76">
        <f t="shared" si="23"/>
        <v>200</v>
      </c>
      <c r="B417" s="106" t="s">
        <v>28</v>
      </c>
      <c r="C417" s="107" t="s">
        <v>420</v>
      </c>
      <c r="D417" s="108" t="s">
        <v>20</v>
      </c>
      <c r="E417" s="180">
        <v>1</v>
      </c>
      <c r="F417" s="267"/>
      <c r="G417" s="109">
        <f t="shared" si="22"/>
        <v>0</v>
      </c>
      <c r="H417" s="127" t="s">
        <v>174</v>
      </c>
      <c r="I417" s="121" t="s">
        <v>368</v>
      </c>
      <c r="J417" s="122" t="s">
        <v>369</v>
      </c>
      <c r="K417" s="5"/>
      <c r="L417" s="51"/>
      <c r="M417" s="51"/>
      <c r="N417" s="51"/>
      <c r="O417" s="51"/>
    </row>
    <row r="418" spans="1:15" ht="39">
      <c r="A418" s="76">
        <f t="shared" si="23"/>
        <v>201</v>
      </c>
      <c r="B418" s="106" t="s">
        <v>28</v>
      </c>
      <c r="C418" s="107" t="s">
        <v>421</v>
      </c>
      <c r="D418" s="108" t="s">
        <v>20</v>
      </c>
      <c r="E418" s="180">
        <v>1</v>
      </c>
      <c r="F418" s="267"/>
      <c r="G418" s="109">
        <f t="shared" si="22"/>
        <v>0</v>
      </c>
      <c r="H418" s="127" t="s">
        <v>174</v>
      </c>
      <c r="I418" s="121" t="s">
        <v>367</v>
      </c>
      <c r="J418" s="122" t="s">
        <v>370</v>
      </c>
      <c r="K418" s="5"/>
      <c r="L418" s="51"/>
      <c r="M418" s="51"/>
      <c r="N418" s="51"/>
      <c r="O418" s="51"/>
    </row>
    <row r="419" spans="1:15" ht="64.5">
      <c r="A419" s="76">
        <f t="shared" si="23"/>
        <v>202</v>
      </c>
      <c r="B419" s="77" t="s">
        <v>385</v>
      </c>
      <c r="C419" s="78" t="s">
        <v>422</v>
      </c>
      <c r="D419" s="79" t="s">
        <v>20</v>
      </c>
      <c r="E419" s="176">
        <v>1</v>
      </c>
      <c r="F419" s="262"/>
      <c r="G419" s="80">
        <f t="shared" si="22"/>
        <v>0</v>
      </c>
      <c r="H419" s="127" t="s">
        <v>174</v>
      </c>
      <c r="I419" s="121" t="s">
        <v>372</v>
      </c>
      <c r="J419" s="122" t="s">
        <v>371</v>
      </c>
      <c r="K419" s="5"/>
      <c r="L419" s="51"/>
      <c r="M419" s="51"/>
      <c r="N419" s="51"/>
      <c r="O419" s="51"/>
    </row>
    <row r="420" spans="1:8" ht="13.5" thickBot="1">
      <c r="A420" s="76">
        <f>A419+1</f>
        <v>203</v>
      </c>
      <c r="B420" s="77"/>
      <c r="C420" s="78" t="s">
        <v>43</v>
      </c>
      <c r="D420" s="110" t="s">
        <v>26</v>
      </c>
      <c r="E420" s="176">
        <f>SUM(G410:G413,G415:G419)</f>
        <v>0</v>
      </c>
      <c r="F420" s="268"/>
      <c r="G420" s="111">
        <f t="shared" si="22"/>
        <v>0</v>
      </c>
      <c r="H420" s="127" t="s">
        <v>174</v>
      </c>
    </row>
    <row r="421" spans="1:8" ht="13.5" thickBot="1">
      <c r="A421" s="76"/>
      <c r="B421" s="77"/>
      <c r="C421" s="102" t="s">
        <v>19</v>
      </c>
      <c r="D421" s="103"/>
      <c r="E421" s="179"/>
      <c r="F421" s="265"/>
      <c r="G421" s="94">
        <f>SUM(G408:G420)</f>
        <v>0</v>
      </c>
      <c r="H421" s="160"/>
    </row>
    <row r="422" spans="1:10" ht="12.75">
      <c r="A422" s="76"/>
      <c r="B422" s="77"/>
      <c r="C422" s="95"/>
      <c r="D422" s="96"/>
      <c r="E422" s="166"/>
      <c r="F422" s="251"/>
      <c r="G422" s="97"/>
      <c r="H422" s="127"/>
      <c r="J422" s="36" t="s">
        <v>202</v>
      </c>
    </row>
    <row r="423" spans="1:8" ht="16.5">
      <c r="A423" s="76"/>
      <c r="B423" s="98" t="s">
        <v>96</v>
      </c>
      <c r="C423" s="72" t="s">
        <v>42</v>
      </c>
      <c r="D423" s="72"/>
      <c r="E423" s="72"/>
      <c r="F423" s="261"/>
      <c r="G423" s="72"/>
      <c r="H423" s="127"/>
    </row>
    <row r="424" spans="1:8" ht="15">
      <c r="A424" s="76"/>
      <c r="B424" s="71"/>
      <c r="C424" s="228" t="s">
        <v>535</v>
      </c>
      <c r="D424" s="228"/>
      <c r="E424" s="228"/>
      <c r="F424" s="259"/>
      <c r="G424" s="228"/>
      <c r="H424" s="127"/>
    </row>
    <row r="425" spans="1:8" ht="15">
      <c r="A425" s="76"/>
      <c r="B425" s="71"/>
      <c r="C425" s="228" t="s">
        <v>536</v>
      </c>
      <c r="D425" s="228"/>
      <c r="E425" s="228"/>
      <c r="F425" s="259"/>
      <c r="G425" s="228"/>
      <c r="H425" s="127"/>
    </row>
    <row r="426" spans="1:8" ht="15">
      <c r="A426" s="76"/>
      <c r="B426" s="71"/>
      <c r="C426" s="228" t="s">
        <v>537</v>
      </c>
      <c r="D426" s="228"/>
      <c r="E426" s="228"/>
      <c r="F426" s="259"/>
      <c r="G426" s="228"/>
      <c r="H426" s="127"/>
    </row>
    <row r="427" spans="1:8" ht="15">
      <c r="A427" s="76"/>
      <c r="B427" s="71"/>
      <c r="C427" s="228" t="s">
        <v>538</v>
      </c>
      <c r="D427" s="228"/>
      <c r="E427" s="228"/>
      <c r="F427" s="259"/>
      <c r="G427" s="228"/>
      <c r="H427" s="127"/>
    </row>
    <row r="428" spans="1:8" ht="15">
      <c r="A428" s="76"/>
      <c r="B428" s="71"/>
      <c r="C428" s="228" t="s">
        <v>539</v>
      </c>
      <c r="D428" s="228"/>
      <c r="E428" s="228"/>
      <c r="F428" s="259"/>
      <c r="G428" s="228"/>
      <c r="H428" s="127"/>
    </row>
    <row r="429" spans="1:8" ht="12.75">
      <c r="A429" s="76">
        <f>A420+1</f>
        <v>204</v>
      </c>
      <c r="B429" s="77" t="s">
        <v>205</v>
      </c>
      <c r="C429" s="78" t="s">
        <v>423</v>
      </c>
      <c r="D429" s="79" t="s">
        <v>20</v>
      </c>
      <c r="E429" s="176">
        <v>2</v>
      </c>
      <c r="F429" s="262"/>
      <c r="G429" s="80">
        <f>E429*F429</f>
        <v>0</v>
      </c>
      <c r="H429" s="127" t="s">
        <v>174</v>
      </c>
    </row>
    <row r="430" spans="1:8" ht="12.75">
      <c r="A430" s="76">
        <f>A429+1</f>
        <v>205</v>
      </c>
      <c r="B430" s="106" t="s">
        <v>28</v>
      </c>
      <c r="C430" s="107" t="s">
        <v>252</v>
      </c>
      <c r="D430" s="108" t="s">
        <v>30</v>
      </c>
      <c r="E430" s="180">
        <f>2.24*2.25</f>
        <v>5.040000000000001</v>
      </c>
      <c r="F430" s="275"/>
      <c r="G430" s="109">
        <f>E430*F430</f>
        <v>0</v>
      </c>
      <c r="H430" s="127" t="s">
        <v>174</v>
      </c>
    </row>
    <row r="431" spans="1:8" ht="12.75">
      <c r="A431" s="76">
        <f>A430+1</f>
        <v>206</v>
      </c>
      <c r="B431" s="77" t="s">
        <v>29</v>
      </c>
      <c r="C431" s="78" t="s">
        <v>418</v>
      </c>
      <c r="D431" s="79" t="s">
        <v>20</v>
      </c>
      <c r="E431" s="176">
        <v>1</v>
      </c>
      <c r="F431" s="262"/>
      <c r="G431" s="80">
        <f>E431*F431</f>
        <v>0</v>
      </c>
      <c r="H431" s="127" t="s">
        <v>174</v>
      </c>
    </row>
    <row r="432" spans="1:8" ht="25.5">
      <c r="A432" s="76">
        <f>A431+1</f>
        <v>207</v>
      </c>
      <c r="B432" s="106"/>
      <c r="C432" s="107" t="s">
        <v>282</v>
      </c>
      <c r="D432" s="108" t="s">
        <v>20</v>
      </c>
      <c r="E432" s="180">
        <v>1</v>
      </c>
      <c r="F432" s="275"/>
      <c r="G432" s="109">
        <f>E432*F432</f>
        <v>0</v>
      </c>
      <c r="H432" s="127" t="s">
        <v>174</v>
      </c>
    </row>
    <row r="433" spans="1:8" ht="13.5" thickBot="1">
      <c r="A433" s="76">
        <f>A432+1</f>
        <v>208</v>
      </c>
      <c r="B433" s="77"/>
      <c r="C433" s="78" t="s">
        <v>43</v>
      </c>
      <c r="D433" s="110" t="s">
        <v>26</v>
      </c>
      <c r="E433" s="176">
        <f>G430+G432</f>
        <v>0</v>
      </c>
      <c r="F433" s="268"/>
      <c r="G433" s="111">
        <f>E433*F433</f>
        <v>0</v>
      </c>
      <c r="H433" s="127" t="s">
        <v>174</v>
      </c>
    </row>
    <row r="434" spans="1:8" ht="13.5" thickBot="1">
      <c r="A434" s="76"/>
      <c r="B434" s="77"/>
      <c r="C434" s="102" t="s">
        <v>19</v>
      </c>
      <c r="D434" s="103"/>
      <c r="E434" s="179"/>
      <c r="F434" s="265"/>
      <c r="G434" s="94">
        <f>SUBTOTAL(9,G429:G433)</f>
        <v>0</v>
      </c>
      <c r="H434" s="160"/>
    </row>
    <row r="435" spans="1:8" ht="12.75">
      <c r="A435" s="76"/>
      <c r="B435" s="77"/>
      <c r="C435" s="95"/>
      <c r="D435" s="96"/>
      <c r="E435" s="166"/>
      <c r="F435" s="251"/>
      <c r="G435" s="97"/>
      <c r="H435" s="127"/>
    </row>
    <row r="436" spans="1:8" ht="16.5">
      <c r="A436" s="76"/>
      <c r="B436" s="98" t="s">
        <v>187</v>
      </c>
      <c r="C436" s="72" t="s">
        <v>58</v>
      </c>
      <c r="D436" s="72"/>
      <c r="E436" s="72"/>
      <c r="F436" s="261"/>
      <c r="G436" s="72"/>
      <c r="H436" s="127"/>
    </row>
    <row r="437" spans="1:8" ht="15">
      <c r="A437" s="76"/>
      <c r="B437" s="71"/>
      <c r="C437" s="228" t="s">
        <v>502</v>
      </c>
      <c r="D437" s="228"/>
      <c r="E437" s="228"/>
      <c r="F437" s="259"/>
      <c r="G437" s="228"/>
      <c r="H437" s="127"/>
    </row>
    <row r="438" spans="1:8" ht="15">
      <c r="A438" s="76"/>
      <c r="B438" s="71"/>
      <c r="C438" s="228" t="s">
        <v>503</v>
      </c>
      <c r="D438" s="228"/>
      <c r="E438" s="228"/>
      <c r="F438" s="259"/>
      <c r="G438" s="228"/>
      <c r="H438" s="127"/>
    </row>
    <row r="439" spans="1:8" ht="15">
      <c r="A439" s="76"/>
      <c r="B439" s="71"/>
      <c r="C439" s="228" t="s">
        <v>540</v>
      </c>
      <c r="D439" s="228"/>
      <c r="E439" s="228"/>
      <c r="F439" s="259"/>
      <c r="G439" s="228"/>
      <c r="H439" s="127"/>
    </row>
    <row r="440" spans="1:8" ht="15">
      <c r="A440" s="76"/>
      <c r="B440" s="71"/>
      <c r="C440" s="228" t="s">
        <v>541</v>
      </c>
      <c r="D440" s="228"/>
      <c r="E440" s="228"/>
      <c r="F440" s="259"/>
      <c r="G440" s="228"/>
      <c r="H440" s="127"/>
    </row>
    <row r="441" spans="1:8" ht="12.75">
      <c r="A441" s="76">
        <f>+A433+1</f>
        <v>209</v>
      </c>
      <c r="B441" s="106" t="s">
        <v>253</v>
      </c>
      <c r="C441" s="112" t="s">
        <v>427</v>
      </c>
      <c r="D441" s="108" t="s">
        <v>182</v>
      </c>
      <c r="E441" s="180">
        <f>5.5*0.06+(3.7+4)*0.07</f>
        <v>0.869</v>
      </c>
      <c r="F441" s="267"/>
      <c r="G441" s="109">
        <f aca="true" t="shared" si="25" ref="G441:G459">E441*F441</f>
        <v>0</v>
      </c>
      <c r="H441" s="127" t="s">
        <v>174</v>
      </c>
    </row>
    <row r="442" spans="1:8" ht="25.5">
      <c r="A442" s="76">
        <f>A441+1</f>
        <v>210</v>
      </c>
      <c r="B442" s="87" t="s">
        <v>254</v>
      </c>
      <c r="C442" s="82" t="s">
        <v>430</v>
      </c>
      <c r="D442" s="79" t="s">
        <v>18</v>
      </c>
      <c r="E442" s="176">
        <f>5.5+(3.7+4)</f>
        <v>13.2</v>
      </c>
      <c r="F442" s="262"/>
      <c r="G442" s="80">
        <f t="shared" si="25"/>
        <v>0</v>
      </c>
      <c r="H442" s="127" t="s">
        <v>174</v>
      </c>
    </row>
    <row r="443" spans="1:8" ht="12.75">
      <c r="A443" s="76">
        <f aca="true" t="shared" si="26" ref="A443:A448">+A442+1</f>
        <v>211</v>
      </c>
      <c r="B443" s="77" t="s">
        <v>255</v>
      </c>
      <c r="C443" s="78" t="s">
        <v>431</v>
      </c>
      <c r="D443" s="79" t="s">
        <v>182</v>
      </c>
      <c r="E443" s="176">
        <f>5.5*0.065+7.7*0.055</f>
        <v>0.781</v>
      </c>
      <c r="F443" s="262"/>
      <c r="G443" s="80">
        <f t="shared" si="25"/>
        <v>0</v>
      </c>
      <c r="H443" s="127" t="s">
        <v>174</v>
      </c>
    </row>
    <row r="444" spans="1:8" ht="25.5">
      <c r="A444" s="76">
        <f t="shared" si="26"/>
        <v>212</v>
      </c>
      <c r="B444" s="77" t="s">
        <v>255</v>
      </c>
      <c r="C444" s="78" t="s">
        <v>433</v>
      </c>
      <c r="D444" s="79" t="s">
        <v>21</v>
      </c>
      <c r="E444" s="176">
        <f>10.2-0.8*2-0.7-2+8.1-0.7+8.1-0.7</f>
        <v>20.7</v>
      </c>
      <c r="F444" s="262"/>
      <c r="G444" s="80">
        <f t="shared" si="25"/>
        <v>0</v>
      </c>
      <c r="H444" s="127" t="s">
        <v>174</v>
      </c>
    </row>
    <row r="445" spans="1:8" ht="12.75">
      <c r="A445" s="76">
        <f t="shared" si="26"/>
        <v>213</v>
      </c>
      <c r="B445" s="77" t="s">
        <v>255</v>
      </c>
      <c r="C445" s="78" t="s">
        <v>209</v>
      </c>
      <c r="D445" s="79" t="s">
        <v>22</v>
      </c>
      <c r="E445" s="176">
        <f>2*E442*1.2/1000</f>
        <v>0.03167999999999999</v>
      </c>
      <c r="F445" s="262"/>
      <c r="G445" s="80">
        <f t="shared" si="25"/>
        <v>0</v>
      </c>
      <c r="H445" s="127" t="s">
        <v>174</v>
      </c>
    </row>
    <row r="446" spans="1:8" ht="12.75">
      <c r="A446" s="76">
        <f t="shared" si="26"/>
        <v>214</v>
      </c>
      <c r="B446" s="77" t="s">
        <v>255</v>
      </c>
      <c r="C446" s="78" t="s">
        <v>210</v>
      </c>
      <c r="D446" s="79" t="s">
        <v>18</v>
      </c>
      <c r="E446" s="176">
        <f>1.1*E442</f>
        <v>14.52</v>
      </c>
      <c r="F446" s="262"/>
      <c r="G446" s="80">
        <f t="shared" si="25"/>
        <v>0</v>
      </c>
      <c r="H446" s="127" t="s">
        <v>174</v>
      </c>
    </row>
    <row r="447" spans="1:8" ht="12.75">
      <c r="A447" s="76">
        <f t="shared" si="26"/>
        <v>215</v>
      </c>
      <c r="B447" s="77" t="s">
        <v>255</v>
      </c>
      <c r="C447" s="78" t="s">
        <v>59</v>
      </c>
      <c r="D447" s="79" t="s">
        <v>18</v>
      </c>
      <c r="E447" s="176">
        <f>+E442</f>
        <v>13.2</v>
      </c>
      <c r="F447" s="262"/>
      <c r="G447" s="80">
        <f t="shared" si="25"/>
        <v>0</v>
      </c>
      <c r="H447" s="127" t="s">
        <v>174</v>
      </c>
    </row>
    <row r="448" spans="1:8" ht="25.5">
      <c r="A448" s="76">
        <f t="shared" si="26"/>
        <v>216</v>
      </c>
      <c r="B448" s="77" t="s">
        <v>184</v>
      </c>
      <c r="C448" s="78" t="s">
        <v>424</v>
      </c>
      <c r="D448" s="79" t="s">
        <v>18</v>
      </c>
      <c r="E448" s="176">
        <f>+E442</f>
        <v>13.2</v>
      </c>
      <c r="F448" s="262"/>
      <c r="G448" s="80">
        <f t="shared" si="25"/>
        <v>0</v>
      </c>
      <c r="H448" s="127" t="s">
        <v>174</v>
      </c>
    </row>
    <row r="449" spans="1:8" ht="25.5">
      <c r="A449" s="76">
        <f>A448+1</f>
        <v>217</v>
      </c>
      <c r="B449" s="106" t="s">
        <v>77</v>
      </c>
      <c r="C449" s="107" t="s">
        <v>183</v>
      </c>
      <c r="D449" s="108" t="s">
        <v>18</v>
      </c>
      <c r="E449" s="180">
        <f>(5.5)*1.1</f>
        <v>6.050000000000001</v>
      </c>
      <c r="F449" s="267"/>
      <c r="G449" s="109">
        <f t="shared" si="25"/>
        <v>0</v>
      </c>
      <c r="H449" s="127" t="s">
        <v>174</v>
      </c>
    </row>
    <row r="450" spans="1:8" ht="25.5">
      <c r="A450" s="76">
        <f>A449+1</f>
        <v>218</v>
      </c>
      <c r="B450" s="106" t="s">
        <v>63</v>
      </c>
      <c r="C450" s="107" t="s">
        <v>183</v>
      </c>
      <c r="D450" s="108" t="s">
        <v>18</v>
      </c>
      <c r="E450" s="180">
        <f>(3.7+4)*1.1</f>
        <v>8.47</v>
      </c>
      <c r="F450" s="267"/>
      <c r="G450" s="109">
        <f t="shared" si="25"/>
        <v>0</v>
      </c>
      <c r="H450" s="127" t="s">
        <v>174</v>
      </c>
    </row>
    <row r="451" spans="1:8" ht="25.5">
      <c r="A451" s="76">
        <f>A450+1</f>
        <v>219</v>
      </c>
      <c r="B451" s="77" t="s">
        <v>79</v>
      </c>
      <c r="C451" s="82" t="s">
        <v>314</v>
      </c>
      <c r="D451" s="79" t="s">
        <v>21</v>
      </c>
      <c r="E451" s="176">
        <f>10.22-3*0.9-2*0.8</f>
        <v>5.92</v>
      </c>
      <c r="F451" s="262"/>
      <c r="G451" s="80">
        <f t="shared" si="25"/>
        <v>0</v>
      </c>
      <c r="H451" s="185" t="s">
        <v>174</v>
      </c>
    </row>
    <row r="452" spans="1:8" ht="12.75">
      <c r="A452" s="76">
        <f>A451+1</f>
        <v>220</v>
      </c>
      <c r="B452" s="77" t="s">
        <v>79</v>
      </c>
      <c r="C452" s="78" t="s">
        <v>162</v>
      </c>
      <c r="D452" s="79" t="s">
        <v>21</v>
      </c>
      <c r="E452" s="176">
        <f>+E451</f>
        <v>5.92</v>
      </c>
      <c r="F452" s="262"/>
      <c r="G452" s="80">
        <f t="shared" si="25"/>
        <v>0</v>
      </c>
      <c r="H452" s="127" t="s">
        <v>174</v>
      </c>
    </row>
    <row r="453" spans="1:8" ht="25.5">
      <c r="A453" s="76">
        <f>A452+1</f>
        <v>221</v>
      </c>
      <c r="B453" s="106" t="s">
        <v>78</v>
      </c>
      <c r="C453" s="107" t="s">
        <v>189</v>
      </c>
      <c r="D453" s="108" t="s">
        <v>20</v>
      </c>
      <c r="E453" s="180">
        <v>18</v>
      </c>
      <c r="F453" s="267"/>
      <c r="G453" s="109">
        <f t="shared" si="25"/>
        <v>0</v>
      </c>
      <c r="H453" s="127" t="s">
        <v>174</v>
      </c>
    </row>
    <row r="454" spans="1:8" ht="25.5">
      <c r="A454" s="76">
        <f aca="true" t="shared" si="27" ref="A454:A459">A453+1</f>
        <v>222</v>
      </c>
      <c r="B454" s="77" t="s">
        <v>62</v>
      </c>
      <c r="C454" s="78" t="s">
        <v>61</v>
      </c>
      <c r="D454" s="79" t="s">
        <v>18</v>
      </c>
      <c r="E454" s="176">
        <f>4+3.7</f>
        <v>7.7</v>
      </c>
      <c r="F454" s="262"/>
      <c r="G454" s="80">
        <f t="shared" si="25"/>
        <v>0</v>
      </c>
      <c r="H454" s="185" t="s">
        <v>174</v>
      </c>
    </row>
    <row r="455" spans="1:8" ht="12.75">
      <c r="A455" s="76">
        <f t="shared" si="27"/>
        <v>223</v>
      </c>
      <c r="B455" s="106" t="s">
        <v>63</v>
      </c>
      <c r="C455" s="107" t="s">
        <v>64</v>
      </c>
      <c r="D455" s="108" t="s">
        <v>30</v>
      </c>
      <c r="E455" s="180">
        <f>1.2*E454</f>
        <v>9.24</v>
      </c>
      <c r="F455" s="267"/>
      <c r="G455" s="109">
        <f t="shared" si="25"/>
        <v>0</v>
      </c>
      <c r="H455" s="127" t="s">
        <v>174</v>
      </c>
    </row>
    <row r="456" spans="1:21" s="187" customFormat="1" ht="12.75">
      <c r="A456" s="76">
        <f t="shared" si="27"/>
        <v>224</v>
      </c>
      <c r="B456" s="77" t="s">
        <v>62</v>
      </c>
      <c r="C456" s="78" t="s">
        <v>384</v>
      </c>
      <c r="D456" s="79" t="s">
        <v>21</v>
      </c>
      <c r="E456" s="230">
        <v>7.3</v>
      </c>
      <c r="F456" s="262"/>
      <c r="G456" s="80">
        <f t="shared" si="25"/>
        <v>0</v>
      </c>
      <c r="H456" s="127" t="s">
        <v>174</v>
      </c>
      <c r="I456" s="190"/>
      <c r="N456" s="191"/>
      <c r="Q456" s="188"/>
      <c r="R456" s="189"/>
      <c r="U456" s="189"/>
    </row>
    <row r="457" spans="1:8" ht="25.5">
      <c r="A457" s="76">
        <f t="shared" si="27"/>
        <v>225</v>
      </c>
      <c r="B457" s="106" t="s">
        <v>63</v>
      </c>
      <c r="C457" s="107" t="s">
        <v>425</v>
      </c>
      <c r="D457" s="108" t="s">
        <v>21</v>
      </c>
      <c r="E457" s="180">
        <f>E456*1.1</f>
        <v>8.030000000000001</v>
      </c>
      <c r="F457" s="267"/>
      <c r="G457" s="109">
        <f t="shared" si="25"/>
        <v>0</v>
      </c>
      <c r="H457" s="186" t="s">
        <v>174</v>
      </c>
    </row>
    <row r="458" spans="1:8" ht="38.25">
      <c r="A458" s="76">
        <f t="shared" si="27"/>
        <v>226</v>
      </c>
      <c r="B458" s="77" t="s">
        <v>34</v>
      </c>
      <c r="C458" s="78" t="s">
        <v>468</v>
      </c>
      <c r="D458" s="79" t="s">
        <v>17</v>
      </c>
      <c r="E458" s="176">
        <v>1</v>
      </c>
      <c r="F458" s="262"/>
      <c r="G458" s="80">
        <f t="shared" si="25"/>
        <v>0</v>
      </c>
      <c r="H458" s="127" t="s">
        <v>174</v>
      </c>
    </row>
    <row r="459" spans="1:8" ht="13.5" thickBot="1">
      <c r="A459" s="76">
        <f t="shared" si="27"/>
        <v>227</v>
      </c>
      <c r="B459" s="77"/>
      <c r="C459" s="78" t="s">
        <v>43</v>
      </c>
      <c r="D459" s="110" t="s">
        <v>26</v>
      </c>
      <c r="E459" s="176">
        <f>+G441+G443+G445+G446+G447+G449+G450+G453+G455+G457+G458</f>
        <v>0</v>
      </c>
      <c r="F459" s="268"/>
      <c r="G459" s="111">
        <f t="shared" si="25"/>
        <v>0</v>
      </c>
      <c r="H459" s="127" t="s">
        <v>174</v>
      </c>
    </row>
    <row r="460" spans="1:8" ht="13.5" thickBot="1">
      <c r="A460" s="76"/>
      <c r="B460" s="77"/>
      <c r="C460" s="102" t="s">
        <v>19</v>
      </c>
      <c r="D460" s="103"/>
      <c r="E460" s="179"/>
      <c r="F460" s="265"/>
      <c r="G460" s="94">
        <f>SUBTOTAL(9,G441:G459)</f>
        <v>0</v>
      </c>
      <c r="H460" s="160"/>
    </row>
    <row r="461" spans="1:8" ht="12.75">
      <c r="A461" s="76"/>
      <c r="B461" s="77"/>
      <c r="C461" s="95"/>
      <c r="D461" s="96"/>
      <c r="E461" s="166"/>
      <c r="F461" s="251"/>
      <c r="G461" s="97"/>
      <c r="H461" s="127"/>
    </row>
    <row r="462" spans="1:8" ht="16.5">
      <c r="A462" s="76"/>
      <c r="B462" s="98" t="s">
        <v>289</v>
      </c>
      <c r="C462" s="72" t="s">
        <v>284</v>
      </c>
      <c r="D462" s="72"/>
      <c r="E462" s="72"/>
      <c r="F462" s="261"/>
      <c r="G462" s="72"/>
      <c r="H462" s="127"/>
    </row>
    <row r="463" spans="1:8" ht="15">
      <c r="A463" s="76"/>
      <c r="B463" s="71"/>
      <c r="C463" s="228" t="s">
        <v>502</v>
      </c>
      <c r="D463" s="228"/>
      <c r="E463" s="228"/>
      <c r="F463" s="259"/>
      <c r="G463" s="228"/>
      <c r="H463" s="127"/>
    </row>
    <row r="464" spans="1:8" ht="15">
      <c r="A464" s="76"/>
      <c r="B464" s="71"/>
      <c r="C464" s="228" t="s">
        <v>542</v>
      </c>
      <c r="D464" s="228"/>
      <c r="E464" s="228"/>
      <c r="F464" s="259"/>
      <c r="G464" s="228"/>
      <c r="H464" s="127"/>
    </row>
    <row r="465" spans="1:8" ht="15">
      <c r="A465" s="76"/>
      <c r="B465" s="71"/>
      <c r="C465" s="228" t="s">
        <v>543</v>
      </c>
      <c r="D465" s="228"/>
      <c r="E465" s="228"/>
      <c r="F465" s="259"/>
      <c r="G465" s="228"/>
      <c r="H465" s="127"/>
    </row>
    <row r="466" spans="1:8" ht="15">
      <c r="A466" s="76"/>
      <c r="B466" s="71"/>
      <c r="C466" s="228" t="s">
        <v>541</v>
      </c>
      <c r="D466" s="228"/>
      <c r="E466" s="228"/>
      <c r="F466" s="259"/>
      <c r="G466" s="228"/>
      <c r="H466" s="127"/>
    </row>
    <row r="467" spans="1:8" ht="12.75">
      <c r="A467" s="76">
        <f>A459+1</f>
        <v>228</v>
      </c>
      <c r="B467" s="106" t="s">
        <v>283</v>
      </c>
      <c r="C467" s="112" t="s">
        <v>428</v>
      </c>
      <c r="D467" s="108" t="s">
        <v>182</v>
      </c>
      <c r="E467" s="180">
        <f>(14.5+22.7)*0.07+9.9*0.09</f>
        <v>3.4950000000000006</v>
      </c>
      <c r="F467" s="267"/>
      <c r="G467" s="109">
        <f aca="true" t="shared" si="28" ref="G467:G475">E467*F467</f>
        <v>0</v>
      </c>
      <c r="H467" s="127" t="s">
        <v>174</v>
      </c>
    </row>
    <row r="468" spans="1:8" ht="25.5">
      <c r="A468" s="76">
        <f aca="true" t="shared" si="29" ref="A468:A478">A467+1</f>
        <v>229</v>
      </c>
      <c r="B468" s="87" t="s">
        <v>429</v>
      </c>
      <c r="C468" s="82" t="s">
        <v>430</v>
      </c>
      <c r="D468" s="79" t="s">
        <v>18</v>
      </c>
      <c r="E468" s="176">
        <f>14.5+22.7+9.9</f>
        <v>47.1</v>
      </c>
      <c r="F468" s="262"/>
      <c r="G468" s="80">
        <f t="shared" si="28"/>
        <v>0</v>
      </c>
      <c r="H468" s="127" t="s">
        <v>174</v>
      </c>
    </row>
    <row r="469" spans="1:8" ht="29.25" customHeight="1">
      <c r="A469" s="76">
        <f t="shared" si="29"/>
        <v>230</v>
      </c>
      <c r="B469" s="87" t="s">
        <v>432</v>
      </c>
      <c r="C469" s="78" t="s">
        <v>431</v>
      </c>
      <c r="D469" s="79" t="s">
        <v>182</v>
      </c>
      <c r="E469" s="176">
        <f>+(14.5+22.7)*0.055+9.9*0.56</f>
        <v>7.590000000000001</v>
      </c>
      <c r="F469" s="262"/>
      <c r="G469" s="80">
        <f t="shared" si="28"/>
        <v>0</v>
      </c>
      <c r="H469" s="127" t="s">
        <v>174</v>
      </c>
    </row>
    <row r="470" spans="1:8" ht="29.25" customHeight="1">
      <c r="A470" s="76">
        <f t="shared" si="29"/>
        <v>231</v>
      </c>
      <c r="B470" s="87" t="s">
        <v>432</v>
      </c>
      <c r="C470" s="78" t="s">
        <v>433</v>
      </c>
      <c r="D470" s="79" t="s">
        <v>21</v>
      </c>
      <c r="E470" s="176">
        <f>13.1-0.8+18.9-0.8*2+15.3-0.8</f>
        <v>44.099999999999994</v>
      </c>
      <c r="F470" s="262"/>
      <c r="G470" s="80">
        <f t="shared" si="28"/>
        <v>0</v>
      </c>
      <c r="H470" s="127" t="s">
        <v>174</v>
      </c>
    </row>
    <row r="471" spans="1:8" ht="12.75" customHeight="1">
      <c r="A471" s="76">
        <f t="shared" si="29"/>
        <v>232</v>
      </c>
      <c r="B471" s="77"/>
      <c r="C471" s="78" t="s">
        <v>209</v>
      </c>
      <c r="D471" s="79" t="s">
        <v>22</v>
      </c>
      <c r="E471" s="176">
        <f>2*E468*1.2/1000</f>
        <v>0.11304</v>
      </c>
      <c r="F471" s="262"/>
      <c r="G471" s="80">
        <f t="shared" si="28"/>
        <v>0</v>
      </c>
      <c r="H471" s="127" t="s">
        <v>174</v>
      </c>
    </row>
    <row r="472" spans="1:8" ht="12.75" customHeight="1">
      <c r="A472" s="76">
        <f t="shared" si="29"/>
        <v>233</v>
      </c>
      <c r="B472" s="77" t="s">
        <v>436</v>
      </c>
      <c r="C472" s="78" t="s">
        <v>434</v>
      </c>
      <c r="D472" s="79" t="s">
        <v>30</v>
      </c>
      <c r="E472" s="176">
        <v>24</v>
      </c>
      <c r="F472" s="262"/>
      <c r="G472" s="80">
        <f>E472*F472</f>
        <v>0</v>
      </c>
      <c r="H472" s="127" t="s">
        <v>174</v>
      </c>
    </row>
    <row r="473" spans="1:8" ht="12.75" customHeight="1">
      <c r="A473" s="76">
        <f t="shared" si="29"/>
        <v>234</v>
      </c>
      <c r="B473" s="77"/>
      <c r="C473" s="78" t="s">
        <v>435</v>
      </c>
      <c r="D473" s="79" t="s">
        <v>21</v>
      </c>
      <c r="E473" s="176">
        <v>4.17</v>
      </c>
      <c r="F473" s="262"/>
      <c r="G473" s="80">
        <f>E473*F473</f>
        <v>0</v>
      </c>
      <c r="H473" s="127" t="s">
        <v>174</v>
      </c>
    </row>
    <row r="474" spans="1:8" ht="12.75">
      <c r="A474" s="76">
        <f t="shared" si="29"/>
        <v>235</v>
      </c>
      <c r="B474" s="77"/>
      <c r="C474" s="78" t="s">
        <v>210</v>
      </c>
      <c r="D474" s="79" t="s">
        <v>18</v>
      </c>
      <c r="E474" s="176">
        <f>+E468</f>
        <v>47.1</v>
      </c>
      <c r="F474" s="262"/>
      <c r="G474" s="80">
        <f t="shared" si="28"/>
        <v>0</v>
      </c>
      <c r="H474" s="127" t="s">
        <v>174</v>
      </c>
    </row>
    <row r="475" spans="1:8" ht="12.75">
      <c r="A475" s="76">
        <f t="shared" si="29"/>
        <v>236</v>
      </c>
      <c r="B475" s="77"/>
      <c r="C475" s="78" t="s">
        <v>59</v>
      </c>
      <c r="D475" s="79" t="s">
        <v>18</v>
      </c>
      <c r="E475" s="176">
        <f>+E474</f>
        <v>47.1</v>
      </c>
      <c r="F475" s="262"/>
      <c r="G475" s="80">
        <f t="shared" si="28"/>
        <v>0</v>
      </c>
      <c r="H475" s="127" t="s">
        <v>174</v>
      </c>
    </row>
    <row r="476" spans="1:8" ht="12.75">
      <c r="A476" s="76">
        <f t="shared" si="29"/>
        <v>237</v>
      </c>
      <c r="B476" s="87" t="s">
        <v>315</v>
      </c>
      <c r="C476" s="78" t="s">
        <v>211</v>
      </c>
      <c r="D476" s="78" t="s">
        <v>18</v>
      </c>
      <c r="E476" s="176">
        <f>9.9+14.5+22.7</f>
        <v>47.099999999999994</v>
      </c>
      <c r="F476" s="262"/>
      <c r="G476" s="80">
        <f aca="true" t="shared" si="30" ref="G476:G483">E476*F476</f>
        <v>0</v>
      </c>
      <c r="H476" s="125" t="s">
        <v>174</v>
      </c>
    </row>
    <row r="477" spans="1:8" ht="12.75">
      <c r="A477" s="76">
        <f t="shared" si="29"/>
        <v>238</v>
      </c>
      <c r="B477" s="123"/>
      <c r="C477" s="78" t="s">
        <v>212</v>
      </c>
      <c r="D477" s="78" t="s">
        <v>18</v>
      </c>
      <c r="E477" s="176">
        <f>+E476</f>
        <v>47.099999999999994</v>
      </c>
      <c r="F477" s="262"/>
      <c r="G477" s="80">
        <f t="shared" si="30"/>
        <v>0</v>
      </c>
      <c r="H477" s="127" t="s">
        <v>174</v>
      </c>
    </row>
    <row r="478" spans="1:8" ht="15" customHeight="1">
      <c r="A478" s="76">
        <f t="shared" si="29"/>
        <v>239</v>
      </c>
      <c r="B478" s="123" t="s">
        <v>283</v>
      </c>
      <c r="C478" s="107" t="s">
        <v>213</v>
      </c>
      <c r="D478" s="108" t="s">
        <v>18</v>
      </c>
      <c r="E478" s="180">
        <f>1.1*E476</f>
        <v>51.809999999999995</v>
      </c>
      <c r="F478" s="267"/>
      <c r="G478" s="109">
        <f t="shared" si="30"/>
        <v>0</v>
      </c>
      <c r="H478" s="125" t="s">
        <v>174</v>
      </c>
    </row>
    <row r="479" spans="1:8" ht="12.75">
      <c r="A479" s="76">
        <f>A478+1</f>
        <v>240</v>
      </c>
      <c r="B479" s="77" t="s">
        <v>170</v>
      </c>
      <c r="C479" s="78" t="s">
        <v>208</v>
      </c>
      <c r="D479" s="79" t="s">
        <v>21</v>
      </c>
      <c r="E479" s="176">
        <f>15.26+18.9+13.1-4*0.9</f>
        <v>43.66</v>
      </c>
      <c r="F479" s="262"/>
      <c r="G479" s="80">
        <f t="shared" si="30"/>
        <v>0</v>
      </c>
      <c r="H479" s="127" t="s">
        <v>174</v>
      </c>
    </row>
    <row r="480" spans="1:8" ht="12.75">
      <c r="A480" s="76">
        <f>A479+1</f>
        <v>241</v>
      </c>
      <c r="B480" s="106" t="s">
        <v>169</v>
      </c>
      <c r="C480" s="107" t="s">
        <v>163</v>
      </c>
      <c r="D480" s="108" t="s">
        <v>21</v>
      </c>
      <c r="E480" s="180">
        <f>+E479*1.1</f>
        <v>48.026</v>
      </c>
      <c r="F480" s="267"/>
      <c r="G480" s="109">
        <f t="shared" si="30"/>
        <v>0</v>
      </c>
      <c r="H480" s="127" t="s">
        <v>174</v>
      </c>
    </row>
    <row r="481" spans="1:8" ht="25.5">
      <c r="A481" s="76">
        <f>A480+1</f>
        <v>242</v>
      </c>
      <c r="B481" s="77" t="s">
        <v>473</v>
      </c>
      <c r="C481" s="78" t="s">
        <v>286</v>
      </c>
      <c r="D481" s="79" t="s">
        <v>21</v>
      </c>
      <c r="E481" s="176">
        <f>0.8*2</f>
        <v>1.6</v>
      </c>
      <c r="F481" s="262"/>
      <c r="G481" s="80">
        <f t="shared" si="30"/>
        <v>0</v>
      </c>
      <c r="H481" s="127" t="s">
        <v>174</v>
      </c>
    </row>
    <row r="482" spans="1:8" ht="25.5">
      <c r="A482" s="76">
        <f>A481+1</f>
        <v>243</v>
      </c>
      <c r="B482" s="77" t="s">
        <v>474</v>
      </c>
      <c r="C482" s="78" t="s">
        <v>311</v>
      </c>
      <c r="D482" s="79" t="s">
        <v>21</v>
      </c>
      <c r="E482" s="176">
        <v>0.8</v>
      </c>
      <c r="F482" s="262"/>
      <c r="G482" s="80">
        <f>E482*F482</f>
        <v>0</v>
      </c>
      <c r="H482" s="127" t="s">
        <v>174</v>
      </c>
    </row>
    <row r="483" spans="1:8" ht="13.5" thickBot="1">
      <c r="A483" s="76">
        <f>A482+1</f>
        <v>244</v>
      </c>
      <c r="B483" s="77"/>
      <c r="C483" s="78" t="s">
        <v>43</v>
      </c>
      <c r="D483" s="110" t="s">
        <v>26</v>
      </c>
      <c r="E483" s="176">
        <f>+G467+G469+G471+G474+G475+G478+G480+G481+G482+G472</f>
        <v>0</v>
      </c>
      <c r="F483" s="268"/>
      <c r="G483" s="111">
        <f t="shared" si="30"/>
        <v>0</v>
      </c>
      <c r="H483" s="127" t="s">
        <v>174</v>
      </c>
    </row>
    <row r="484" spans="2:8" ht="13.5" thickBot="1">
      <c r="B484" s="77"/>
      <c r="C484" s="102" t="s">
        <v>19</v>
      </c>
      <c r="D484" s="103"/>
      <c r="E484" s="179"/>
      <c r="F484" s="265"/>
      <c r="G484" s="94">
        <f>SUBTOTAL(9,G467:G483)</f>
        <v>0</v>
      </c>
      <c r="H484" s="160"/>
    </row>
    <row r="485" spans="2:7" ht="12.75">
      <c r="B485" s="77"/>
      <c r="C485" s="124"/>
      <c r="D485" s="110"/>
      <c r="E485" s="184"/>
      <c r="F485" s="276"/>
      <c r="G485" s="111"/>
    </row>
    <row r="486" spans="2:7" ht="16.5">
      <c r="B486" s="71">
        <v>3</v>
      </c>
      <c r="C486" s="72" t="s">
        <v>33</v>
      </c>
      <c r="D486" s="72"/>
      <c r="E486" s="72"/>
      <c r="F486" s="261"/>
      <c r="G486" s="72"/>
    </row>
    <row r="487" spans="1:8" ht="12.75">
      <c r="A487" s="76">
        <f>A483+1</f>
        <v>245</v>
      </c>
      <c r="B487" s="77" t="s">
        <v>475</v>
      </c>
      <c r="C487" s="78" t="s">
        <v>97</v>
      </c>
      <c r="D487" s="79" t="s">
        <v>20</v>
      </c>
      <c r="E487" s="176">
        <v>1</v>
      </c>
      <c r="F487" s="262"/>
      <c r="G487" s="80">
        <f>E487*F487</f>
        <v>0</v>
      </c>
      <c r="H487" s="127" t="s">
        <v>180</v>
      </c>
    </row>
    <row r="488" spans="1:8" ht="25.5">
      <c r="A488" s="76">
        <f>A487+1</f>
        <v>246</v>
      </c>
      <c r="B488" s="77"/>
      <c r="C488" s="82" t="s">
        <v>335</v>
      </c>
      <c r="D488" s="79" t="s">
        <v>17</v>
      </c>
      <c r="E488" s="176">
        <v>1</v>
      </c>
      <c r="F488" s="262"/>
      <c r="G488" s="80">
        <f>E488*F488</f>
        <v>0</v>
      </c>
      <c r="H488" s="127" t="s">
        <v>174</v>
      </c>
    </row>
    <row r="489" spans="1:8" ht="13.5" thickBot="1">
      <c r="A489" s="76">
        <f>A488+1</f>
        <v>247</v>
      </c>
      <c r="B489" s="77"/>
      <c r="C489" s="78" t="s">
        <v>376</v>
      </c>
      <c r="D489" s="79" t="s">
        <v>17</v>
      </c>
      <c r="E489" s="176">
        <v>1</v>
      </c>
      <c r="F489" s="262"/>
      <c r="G489" s="80">
        <f>E489*F489</f>
        <v>0</v>
      </c>
      <c r="H489" s="127" t="s">
        <v>174</v>
      </c>
    </row>
    <row r="490" spans="1:8" ht="13.5" thickBot="1">
      <c r="A490" s="76"/>
      <c r="C490" s="102" t="s">
        <v>19</v>
      </c>
      <c r="D490" s="103"/>
      <c r="E490" s="179"/>
      <c r="F490" s="265"/>
      <c r="G490" s="94">
        <f>SUM(G487:G489)</f>
        <v>0</v>
      </c>
      <c r="H490" s="161"/>
    </row>
    <row r="491" spans="1:8" ht="12.75">
      <c r="A491" s="76"/>
      <c r="C491" s="95"/>
      <c r="D491" s="96"/>
      <c r="E491" s="166"/>
      <c r="F491" s="251"/>
      <c r="G491" s="97"/>
      <c r="H491" s="153"/>
    </row>
  </sheetData>
  <sheetProtection password="C4F8" sheet="1" selectLockedCells="1"/>
  <mergeCells count="2">
    <mergeCell ref="C5:E5"/>
    <mergeCell ref="C6:E6"/>
  </mergeCells>
  <conditionalFormatting sqref="D73:D74">
    <cfRule type="expression" priority="104" dxfId="3" stopIfTrue="1">
      <formula>ISTEXT(D73)</formula>
    </cfRule>
  </conditionalFormatting>
  <conditionalFormatting sqref="E73:G74">
    <cfRule type="expression" priority="105" dxfId="3" stopIfTrue="1">
      <formula>ISNUMBER(E73)</formula>
    </cfRule>
  </conditionalFormatting>
  <hyperlinks>
    <hyperlink ref="C12" location="Kapitola_2" display="Kapitola_2"/>
    <hyperlink ref="C11" location="Kapitola_1" display="Kapitola_1"/>
    <hyperlink ref="C135:G135" location="Rekapitulace_2" display="Stropní deska v úrovni terénu"/>
    <hyperlink ref="C28" location="Dokoncovaci_prace" display="Dokoncovaci_prace"/>
    <hyperlink ref="C96:G96" location="Rekapitulace_1" display="Bourací a přípravné práce"/>
    <hyperlink ref="C149:G149" location="Rekapitulace_2b" display="Živičné izolace"/>
    <hyperlink ref="C167:G167" location="Rekapitulace_2c" display="Povlakové izolace proti vodě"/>
    <hyperlink ref="C221:G221" location="Rekapitulace_2d" display="Izolace tepelné"/>
    <hyperlink ref="C244:G244" location="Rekapitulace_2e" display="Kanalizace"/>
    <hyperlink ref="C296:G296" location="Rekapitulace_2f" display="Konstrukce klempířské"/>
    <hyperlink ref="C14" location="Kapitola_2b" display="Kapitola_2b"/>
    <hyperlink ref="C15" location="Kapitola_2c" display="Kapitola_2c"/>
    <hyperlink ref="C16" location="Kapitola_2d" display="Kapitola_2d"/>
    <hyperlink ref="C17" location="Kapitola_2e" display="Kapitola_2e"/>
    <hyperlink ref="C19" location="Kapitola_2f" display="Kapitola_2f"/>
    <hyperlink ref="C20" location="Kapitola_2g" display="Kapitola_2g"/>
    <hyperlink ref="C332:G332" location="Rekapitulace_2g" display="Elektroinstalace - silnoproud"/>
    <hyperlink ref="C349:G349" location="Rekapitulace_2i" display="Vzduchotechnika"/>
    <hyperlink ref="C341:G341" location="Rekapitulace_2h" display="Elektroinstalace - slaboproud"/>
    <hyperlink ref="C402:G402" location="Rekapitulace_2j" display="Konstrukce truhlářské"/>
    <hyperlink ref="C423:G423" location="Rekapitulace_2k" display="Konstrukce zámečnické"/>
    <hyperlink ref="C436:G436" location="Rekapitulace_2l" display="Podlahy z dlaždic"/>
    <hyperlink ref="C462:G462" location="Rekapitulace_2m" display="Podlahy povlakové"/>
    <hyperlink ref="C21" location="Kapitola_2h" display="Kapitola_2h"/>
    <hyperlink ref="C22" location="Kapitola_2i" display="Kapitola_2i"/>
    <hyperlink ref="C24" location="Kapitola_2j" display="Kapitola_2j"/>
    <hyperlink ref="C25" location="Kapitola_2k" display="Kapitola_2k"/>
    <hyperlink ref="C26" location="Kapitola_2l" display="Kapitola_2l"/>
    <hyperlink ref="C27" location="Kapitola_2m" display="Kapitola_2m"/>
    <hyperlink ref="C486:G486" location="Rekapitulace_Dokončovací_práce" display="Dokončovací práce"/>
    <hyperlink ref="C265:G265" location="Rekapitulace_2f" display="Plynovod"/>
    <hyperlink ref="C374:G374" location="Rekapitulace_2h" display="Elektroinstalace - slaboproud"/>
    <hyperlink ref="J417" r:id="rId1" display="https://www.alza.cz/mora-vdp-645gb3-d5129956.htm?kampan=adw2_bile-elektro_pla_all_bile-elektro-css_vestavne_c_9062895_1o5_MORVD001&amp;gclid=EAIaIQobChMIpc_ysJiP5QIVWOd3Ch3d4wJUEAYYBSABEgLruPD_BwE"/>
    <hyperlink ref="J418" r:id="rId2" display="https://www.alza.cz/mora-vt-433-bx-d5129962.htm"/>
  </hyperlinks>
  <printOptions horizontalCentered="1"/>
  <pageMargins left="0.3937007874015748" right="0.3937007874015748" top="0.3937007874015748" bottom="0.4724409448818898" header="0.5118110236220472" footer="0.3937007874015748"/>
  <pageSetup horizontalDpi="300" verticalDpi="300" orientation="portrait" paperSize="9" scale="80" r:id="rId3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G6" sqref="G5:G6"/>
    </sheetView>
  </sheetViews>
  <sheetFormatPr defaultColWidth="9.00390625" defaultRowHeight="12.75"/>
  <cols>
    <col min="1" max="1" width="4.75390625" style="151" customWidth="1"/>
    <col min="2" max="2" width="9.375" style="151" customWidth="1"/>
    <col min="3" max="3" width="43.875" style="51" customWidth="1"/>
    <col min="4" max="5" width="4.625" style="51" customWidth="1"/>
    <col min="6" max="6" width="7.625" style="51" customWidth="1"/>
    <col min="7" max="7" width="9.875" style="51" customWidth="1"/>
    <col min="8" max="8" width="9.375" style="51" customWidth="1"/>
    <col min="9" max="9" width="1.25" style="51" customWidth="1"/>
    <col min="10" max="10" width="0" style="51" hidden="1" customWidth="1"/>
    <col min="11" max="11" width="19.125" style="131" customWidth="1"/>
    <col min="12" max="12" width="10.375" style="51" customWidth="1"/>
    <col min="13" max="16384" width="9.125" style="51" customWidth="1"/>
  </cols>
  <sheetData>
    <row r="1" spans="1:11" s="133" customFormat="1" ht="21" customHeight="1">
      <c r="A1" s="132"/>
      <c r="B1" s="212" t="s">
        <v>338</v>
      </c>
      <c r="C1" s="213"/>
      <c r="D1" s="213"/>
      <c r="E1" s="213"/>
      <c r="F1" s="213"/>
      <c r="G1" s="213"/>
      <c r="H1" s="213"/>
      <c r="I1" s="213"/>
      <c r="J1" s="213"/>
      <c r="K1" s="206"/>
    </row>
    <row r="2" spans="1:11" s="133" customFormat="1" ht="24" customHeight="1">
      <c r="A2" s="134"/>
      <c r="B2" s="134"/>
      <c r="C2" s="132" t="s">
        <v>107</v>
      </c>
      <c r="K2" s="206"/>
    </row>
    <row r="3" spans="1:11" s="133" customFormat="1" ht="16.5" customHeight="1">
      <c r="A3" s="134"/>
      <c r="B3" s="134"/>
      <c r="C3" s="135" t="s">
        <v>108</v>
      </c>
      <c r="K3" s="206"/>
    </row>
    <row r="4" spans="1:11" s="133" customFormat="1" ht="11.25">
      <c r="A4" s="134"/>
      <c r="B4" s="134" t="s">
        <v>109</v>
      </c>
      <c r="C4" s="136" t="s">
        <v>110</v>
      </c>
      <c r="E4" s="134" t="s">
        <v>23</v>
      </c>
      <c r="F4" s="134" t="s">
        <v>111</v>
      </c>
      <c r="G4" s="134" t="s">
        <v>112</v>
      </c>
      <c r="H4" s="134" t="s">
        <v>24</v>
      </c>
      <c r="I4" s="134"/>
      <c r="J4" s="133" t="s">
        <v>113</v>
      </c>
      <c r="K4" s="206" t="s">
        <v>437</v>
      </c>
    </row>
    <row r="5" spans="1:11" s="133" customFormat="1" ht="13.5" customHeight="1">
      <c r="A5" s="134">
        <v>1</v>
      </c>
      <c r="B5" s="134">
        <v>210201064</v>
      </c>
      <c r="C5" s="133" t="s">
        <v>225</v>
      </c>
      <c r="D5" s="133" t="s">
        <v>20</v>
      </c>
      <c r="E5" s="133">
        <v>2</v>
      </c>
      <c r="F5" s="277"/>
      <c r="G5" s="277"/>
      <c r="H5" s="137">
        <f>(F5+G5)*E5</f>
        <v>0</v>
      </c>
      <c r="I5" s="137"/>
      <c r="J5" s="133">
        <f>E5*F5</f>
        <v>0</v>
      </c>
      <c r="K5" s="206"/>
    </row>
    <row r="6" spans="1:11" s="133" customFormat="1" ht="13.5" customHeight="1">
      <c r="A6" s="134">
        <f aca="true" t="shared" si="0" ref="A6:A36">A5+1</f>
        <v>2</v>
      </c>
      <c r="B6" s="134">
        <v>210201064</v>
      </c>
      <c r="C6" s="133" t="s">
        <v>114</v>
      </c>
      <c r="D6" s="133" t="s">
        <v>20</v>
      </c>
      <c r="E6" s="133">
        <v>7</v>
      </c>
      <c r="F6" s="277"/>
      <c r="G6" s="277"/>
      <c r="H6" s="137">
        <f aca="true" t="shared" si="1" ref="H6:H36">(F6+G6)*E6</f>
        <v>0</v>
      </c>
      <c r="I6" s="137"/>
      <c r="J6" s="133">
        <f aca="true" t="shared" si="2" ref="J6:J36">E6*F6</f>
        <v>0</v>
      </c>
      <c r="K6" s="206"/>
    </row>
    <row r="7" spans="1:11" s="133" customFormat="1" ht="13.5" customHeight="1">
      <c r="A7" s="134">
        <f t="shared" si="0"/>
        <v>3</v>
      </c>
      <c r="B7" s="134">
        <v>210201064</v>
      </c>
      <c r="C7" s="133" t="s">
        <v>339</v>
      </c>
      <c r="D7" s="133" t="s">
        <v>20</v>
      </c>
      <c r="E7" s="133">
        <v>2</v>
      </c>
      <c r="F7" s="277"/>
      <c r="G7" s="277"/>
      <c r="H7" s="137">
        <f t="shared" si="1"/>
        <v>0</v>
      </c>
      <c r="I7" s="137"/>
      <c r="J7" s="133">
        <f t="shared" si="2"/>
        <v>0</v>
      </c>
      <c r="K7" s="206"/>
    </row>
    <row r="8" spans="1:11" s="133" customFormat="1" ht="13.5" customHeight="1">
      <c r="A8" s="134">
        <f t="shared" si="0"/>
        <v>4</v>
      </c>
      <c r="B8" s="134">
        <v>210111021</v>
      </c>
      <c r="C8" s="133" t="s">
        <v>116</v>
      </c>
      <c r="D8" s="133" t="s">
        <v>20</v>
      </c>
      <c r="E8" s="133">
        <v>29</v>
      </c>
      <c r="F8" s="277"/>
      <c r="G8" s="277"/>
      <c r="H8" s="137">
        <f t="shared" si="1"/>
        <v>0</v>
      </c>
      <c r="I8" s="137"/>
      <c r="J8" s="133">
        <f t="shared" si="2"/>
        <v>0</v>
      </c>
      <c r="K8" s="206"/>
    </row>
    <row r="9" spans="1:11" s="133" customFormat="1" ht="13.5" customHeight="1">
      <c r="A9" s="134">
        <f t="shared" si="0"/>
        <v>5</v>
      </c>
      <c r="B9" s="134">
        <v>210111011</v>
      </c>
      <c r="C9" s="133" t="s">
        <v>117</v>
      </c>
      <c r="D9" s="133" t="s">
        <v>20</v>
      </c>
      <c r="E9" s="133">
        <v>1</v>
      </c>
      <c r="F9" s="277"/>
      <c r="G9" s="277"/>
      <c r="H9" s="137">
        <f t="shared" si="1"/>
        <v>0</v>
      </c>
      <c r="I9" s="137"/>
      <c r="J9" s="133">
        <f t="shared" si="2"/>
        <v>0</v>
      </c>
      <c r="K9" s="206"/>
    </row>
    <row r="10" spans="1:11" s="133" customFormat="1" ht="13.5" customHeight="1">
      <c r="A10" s="134">
        <f t="shared" si="0"/>
        <v>6</v>
      </c>
      <c r="B10" s="134">
        <v>210110027</v>
      </c>
      <c r="C10" s="133" t="s">
        <v>340</v>
      </c>
      <c r="D10" s="133" t="s">
        <v>20</v>
      </c>
      <c r="E10" s="133">
        <v>1</v>
      </c>
      <c r="F10" s="277"/>
      <c r="G10" s="277"/>
      <c r="H10" s="137">
        <f t="shared" si="1"/>
        <v>0</v>
      </c>
      <c r="I10" s="137"/>
      <c r="J10" s="133">
        <f t="shared" si="2"/>
        <v>0</v>
      </c>
      <c r="K10" s="206"/>
    </row>
    <row r="11" spans="1:11" s="133" customFormat="1" ht="13.5" customHeight="1">
      <c r="A11" s="134">
        <f t="shared" si="0"/>
        <v>7</v>
      </c>
      <c r="B11" s="134">
        <v>210110041</v>
      </c>
      <c r="C11" s="133" t="s">
        <v>118</v>
      </c>
      <c r="D11" s="133" t="s">
        <v>20</v>
      </c>
      <c r="E11" s="133">
        <v>6</v>
      </c>
      <c r="F11" s="277"/>
      <c r="G11" s="277"/>
      <c r="H11" s="137">
        <f t="shared" si="1"/>
        <v>0</v>
      </c>
      <c r="I11" s="137"/>
      <c r="J11" s="133">
        <f t="shared" si="2"/>
        <v>0</v>
      </c>
      <c r="K11" s="206"/>
    </row>
    <row r="12" spans="1:11" s="133" customFormat="1" ht="13.5" customHeight="1">
      <c r="A12" s="134">
        <f t="shared" si="0"/>
        <v>8</v>
      </c>
      <c r="B12" s="134">
        <v>210110043</v>
      </c>
      <c r="C12" s="133" t="s">
        <v>119</v>
      </c>
      <c r="D12" s="133" t="s">
        <v>20</v>
      </c>
      <c r="E12" s="133">
        <v>1</v>
      </c>
      <c r="F12" s="277"/>
      <c r="G12" s="277"/>
      <c r="H12" s="137">
        <f t="shared" si="1"/>
        <v>0</v>
      </c>
      <c r="I12" s="137"/>
      <c r="J12" s="133">
        <f t="shared" si="2"/>
        <v>0</v>
      </c>
      <c r="K12" s="206"/>
    </row>
    <row r="13" spans="1:11" s="133" customFormat="1" ht="13.5" customHeight="1">
      <c r="A13" s="134">
        <f t="shared" si="0"/>
        <v>9</v>
      </c>
      <c r="B13" s="134">
        <v>210110045</v>
      </c>
      <c r="C13" s="133" t="s">
        <v>120</v>
      </c>
      <c r="D13" s="133" t="s">
        <v>20</v>
      </c>
      <c r="E13" s="133">
        <v>2</v>
      </c>
      <c r="F13" s="277"/>
      <c r="G13" s="277"/>
      <c r="H13" s="137">
        <f t="shared" si="1"/>
        <v>0</v>
      </c>
      <c r="I13" s="137"/>
      <c r="J13" s="133">
        <f t="shared" si="2"/>
        <v>0</v>
      </c>
      <c r="K13" s="206"/>
    </row>
    <row r="14" spans="1:11" s="133" customFormat="1" ht="13.5" customHeight="1">
      <c r="A14" s="134">
        <f t="shared" si="0"/>
        <v>10</v>
      </c>
      <c r="B14" s="134" t="s">
        <v>115</v>
      </c>
      <c r="C14" s="133" t="s">
        <v>121</v>
      </c>
      <c r="D14" s="133" t="s">
        <v>20</v>
      </c>
      <c r="E14" s="133">
        <v>22</v>
      </c>
      <c r="F14" s="277"/>
      <c r="G14" s="277"/>
      <c r="H14" s="137">
        <f t="shared" si="1"/>
        <v>0</v>
      </c>
      <c r="I14" s="137"/>
      <c r="J14" s="133">
        <f t="shared" si="2"/>
        <v>0</v>
      </c>
      <c r="K14" s="206"/>
    </row>
    <row r="15" spans="1:11" s="133" customFormat="1" ht="13.5" customHeight="1">
      <c r="A15" s="134">
        <f t="shared" si="0"/>
        <v>11</v>
      </c>
      <c r="B15" s="134" t="s">
        <v>115</v>
      </c>
      <c r="C15" s="133" t="s">
        <v>122</v>
      </c>
      <c r="D15" s="133" t="s">
        <v>20</v>
      </c>
      <c r="E15" s="133">
        <v>6</v>
      </c>
      <c r="F15" s="277"/>
      <c r="G15" s="277"/>
      <c r="H15" s="137">
        <f t="shared" si="1"/>
        <v>0</v>
      </c>
      <c r="I15" s="137"/>
      <c r="J15" s="133">
        <f t="shared" si="2"/>
        <v>0</v>
      </c>
      <c r="K15" s="206"/>
    </row>
    <row r="16" spans="1:11" s="133" customFormat="1" ht="13.5" customHeight="1">
      <c r="A16" s="134">
        <f t="shared" si="0"/>
        <v>12</v>
      </c>
      <c r="B16" s="134" t="s">
        <v>115</v>
      </c>
      <c r="C16" s="133" t="s">
        <v>173</v>
      </c>
      <c r="D16" s="133" t="s">
        <v>20</v>
      </c>
      <c r="E16" s="133">
        <v>1</v>
      </c>
      <c r="F16" s="277"/>
      <c r="G16" s="277"/>
      <c r="H16" s="137">
        <f t="shared" si="1"/>
        <v>0</v>
      </c>
      <c r="I16" s="137"/>
      <c r="J16" s="133">
        <f t="shared" si="2"/>
        <v>0</v>
      </c>
      <c r="K16" s="206"/>
    </row>
    <row r="17" spans="1:13" s="133" customFormat="1" ht="13.5" customHeight="1">
      <c r="A17" s="134">
        <f t="shared" si="0"/>
        <v>13</v>
      </c>
      <c r="B17" s="134" t="s">
        <v>115</v>
      </c>
      <c r="C17" s="138" t="s">
        <v>123</v>
      </c>
      <c r="D17" s="133" t="s">
        <v>20</v>
      </c>
      <c r="E17" s="138">
        <v>1</v>
      </c>
      <c r="F17" s="278"/>
      <c r="G17" s="277"/>
      <c r="H17" s="137">
        <f t="shared" si="1"/>
        <v>0</v>
      </c>
      <c r="I17" s="137"/>
      <c r="J17" s="133">
        <f t="shared" si="2"/>
        <v>0</v>
      </c>
      <c r="K17" s="206"/>
      <c r="M17" s="139"/>
    </row>
    <row r="18" spans="1:13" s="133" customFormat="1" ht="13.5" customHeight="1">
      <c r="A18" s="134">
        <f t="shared" si="0"/>
        <v>14</v>
      </c>
      <c r="B18" s="134">
        <v>210201064</v>
      </c>
      <c r="C18" s="138" t="s">
        <v>226</v>
      </c>
      <c r="D18" s="133" t="s">
        <v>20</v>
      </c>
      <c r="E18" s="138">
        <v>1</v>
      </c>
      <c r="F18" s="278"/>
      <c r="G18" s="277"/>
      <c r="H18" s="137">
        <f t="shared" si="1"/>
        <v>0</v>
      </c>
      <c r="I18" s="137"/>
      <c r="J18" s="133">
        <f t="shared" si="2"/>
        <v>0</v>
      </c>
      <c r="K18" s="206"/>
      <c r="M18" s="139"/>
    </row>
    <row r="19" spans="1:11" s="133" customFormat="1" ht="13.5" customHeight="1">
      <c r="A19" s="134">
        <f t="shared" si="0"/>
        <v>15</v>
      </c>
      <c r="B19" s="134">
        <v>210220321</v>
      </c>
      <c r="C19" s="133" t="s">
        <v>227</v>
      </c>
      <c r="D19" s="133" t="s">
        <v>20</v>
      </c>
      <c r="E19" s="133">
        <v>2</v>
      </c>
      <c r="F19" s="277"/>
      <c r="G19" s="277"/>
      <c r="H19" s="137">
        <f t="shared" si="1"/>
        <v>0</v>
      </c>
      <c r="I19" s="137"/>
      <c r="J19" s="133">
        <f t="shared" si="2"/>
        <v>0</v>
      </c>
      <c r="K19" s="206"/>
    </row>
    <row r="20" spans="1:11" s="133" customFormat="1" ht="13.5" customHeight="1">
      <c r="A20" s="134">
        <f t="shared" si="0"/>
        <v>16</v>
      </c>
      <c r="B20" s="134">
        <v>210010301</v>
      </c>
      <c r="C20" s="133" t="s">
        <v>124</v>
      </c>
      <c r="D20" s="133" t="s">
        <v>20</v>
      </c>
      <c r="E20" s="133">
        <v>40</v>
      </c>
      <c r="F20" s="277"/>
      <c r="G20" s="277"/>
      <c r="H20" s="137">
        <f t="shared" si="1"/>
        <v>0</v>
      </c>
      <c r="I20" s="137"/>
      <c r="J20" s="133">
        <f t="shared" si="2"/>
        <v>0</v>
      </c>
      <c r="K20" s="206"/>
    </row>
    <row r="21" spans="1:11" s="133" customFormat="1" ht="13.5" customHeight="1">
      <c r="A21" s="134">
        <f t="shared" si="0"/>
        <v>17</v>
      </c>
      <c r="B21" s="134">
        <v>210010321</v>
      </c>
      <c r="C21" s="133" t="s">
        <v>228</v>
      </c>
      <c r="D21" s="133" t="s">
        <v>20</v>
      </c>
      <c r="E21" s="133">
        <v>4</v>
      </c>
      <c r="F21" s="277"/>
      <c r="G21" s="277"/>
      <c r="H21" s="137">
        <f t="shared" si="1"/>
        <v>0</v>
      </c>
      <c r="I21" s="137"/>
      <c r="J21" s="133">
        <f t="shared" si="2"/>
        <v>0</v>
      </c>
      <c r="K21" s="206"/>
    </row>
    <row r="22" spans="1:11" s="133" customFormat="1" ht="13.5" customHeight="1">
      <c r="A22" s="134">
        <f t="shared" si="0"/>
        <v>18</v>
      </c>
      <c r="B22" s="134">
        <v>211010011</v>
      </c>
      <c r="C22" s="133" t="s">
        <v>125</v>
      </c>
      <c r="D22" s="133" t="s">
        <v>20</v>
      </c>
      <c r="E22" s="133">
        <v>30</v>
      </c>
      <c r="F22" s="277"/>
      <c r="G22" s="277"/>
      <c r="H22" s="137">
        <f t="shared" si="1"/>
        <v>0</v>
      </c>
      <c r="I22" s="137"/>
      <c r="J22" s="133">
        <f t="shared" si="2"/>
        <v>0</v>
      </c>
      <c r="K22" s="206"/>
    </row>
    <row r="23" spans="1:11" s="133" customFormat="1" ht="13.5" customHeight="1">
      <c r="A23" s="134">
        <f t="shared" si="0"/>
        <v>19</v>
      </c>
      <c r="B23" s="134">
        <v>210800106</v>
      </c>
      <c r="C23" s="133" t="s">
        <v>126</v>
      </c>
      <c r="D23" s="133" t="s">
        <v>21</v>
      </c>
      <c r="E23" s="133">
        <v>210</v>
      </c>
      <c r="F23" s="277"/>
      <c r="G23" s="277"/>
      <c r="H23" s="137">
        <f t="shared" si="1"/>
        <v>0</v>
      </c>
      <c r="I23" s="137"/>
      <c r="J23" s="133">
        <f t="shared" si="2"/>
        <v>0</v>
      </c>
      <c r="K23" s="206"/>
    </row>
    <row r="24" spans="1:11" s="133" customFormat="1" ht="13.5" customHeight="1">
      <c r="A24" s="134">
        <f t="shared" si="0"/>
        <v>20</v>
      </c>
      <c r="B24" s="134">
        <v>210800105</v>
      </c>
      <c r="C24" s="133" t="s">
        <v>127</v>
      </c>
      <c r="D24" s="133" t="s">
        <v>21</v>
      </c>
      <c r="E24" s="133">
        <v>140</v>
      </c>
      <c r="F24" s="277"/>
      <c r="G24" s="277"/>
      <c r="H24" s="137">
        <f t="shared" si="1"/>
        <v>0</v>
      </c>
      <c r="I24" s="137"/>
      <c r="J24" s="133">
        <f t="shared" si="2"/>
        <v>0</v>
      </c>
      <c r="K24" s="206"/>
    </row>
    <row r="25" spans="1:11" s="133" customFormat="1" ht="13.5" customHeight="1">
      <c r="A25" s="134">
        <f t="shared" si="0"/>
        <v>21</v>
      </c>
      <c r="B25" s="134">
        <v>210800105</v>
      </c>
      <c r="C25" s="133" t="s">
        <v>341</v>
      </c>
      <c r="D25" s="133" t="s">
        <v>21</v>
      </c>
      <c r="E25" s="133">
        <v>60</v>
      </c>
      <c r="F25" s="277"/>
      <c r="G25" s="277"/>
      <c r="H25" s="137">
        <f t="shared" si="1"/>
        <v>0</v>
      </c>
      <c r="I25" s="137"/>
      <c r="J25" s="133">
        <f t="shared" si="2"/>
        <v>0</v>
      </c>
      <c r="K25" s="206"/>
    </row>
    <row r="26" spans="1:11" s="133" customFormat="1" ht="13.5" customHeight="1">
      <c r="A26" s="134">
        <f t="shared" si="0"/>
        <v>22</v>
      </c>
      <c r="B26" s="134">
        <v>210800566</v>
      </c>
      <c r="C26" s="133" t="s">
        <v>128</v>
      </c>
      <c r="D26" s="133" t="s">
        <v>21</v>
      </c>
      <c r="E26" s="133">
        <v>15</v>
      </c>
      <c r="F26" s="277"/>
      <c r="G26" s="277"/>
      <c r="H26" s="137">
        <f t="shared" si="1"/>
        <v>0</v>
      </c>
      <c r="I26" s="137"/>
      <c r="J26" s="133">
        <f t="shared" si="2"/>
        <v>0</v>
      </c>
      <c r="K26" s="206"/>
    </row>
    <row r="27" spans="1:11" s="133" customFormat="1" ht="12.75" customHeight="1">
      <c r="A27" s="134">
        <f t="shared" si="0"/>
        <v>23</v>
      </c>
      <c r="B27" s="134">
        <v>210190005</v>
      </c>
      <c r="C27" s="133" t="s">
        <v>129</v>
      </c>
      <c r="D27" s="133" t="s">
        <v>20</v>
      </c>
      <c r="E27" s="133">
        <v>1</v>
      </c>
      <c r="F27" s="137"/>
      <c r="G27" s="277"/>
      <c r="H27" s="137">
        <f t="shared" si="1"/>
        <v>0</v>
      </c>
      <c r="I27" s="137"/>
      <c r="J27" s="133">
        <f t="shared" si="2"/>
        <v>0</v>
      </c>
      <c r="K27" s="206"/>
    </row>
    <row r="28" spans="1:11" s="133" customFormat="1" ht="12.75" customHeight="1">
      <c r="A28" s="134">
        <f t="shared" si="0"/>
        <v>24</v>
      </c>
      <c r="B28" s="134">
        <v>210292041</v>
      </c>
      <c r="C28" s="133" t="s">
        <v>130</v>
      </c>
      <c r="D28" s="133" t="s">
        <v>20</v>
      </c>
      <c r="E28" s="133">
        <v>35</v>
      </c>
      <c r="F28" s="137"/>
      <c r="G28" s="277"/>
      <c r="H28" s="137">
        <f t="shared" si="1"/>
        <v>0</v>
      </c>
      <c r="I28" s="137"/>
      <c r="J28" s="133">
        <f t="shared" si="2"/>
        <v>0</v>
      </c>
      <c r="K28" s="206"/>
    </row>
    <row r="29" spans="1:11" s="133" customFormat="1" ht="12.75" customHeight="1">
      <c r="A29" s="134">
        <f t="shared" si="0"/>
        <v>25</v>
      </c>
      <c r="B29" s="134">
        <v>210040512</v>
      </c>
      <c r="C29" s="133" t="s">
        <v>229</v>
      </c>
      <c r="D29" s="133" t="s">
        <v>20</v>
      </c>
      <c r="E29" s="133">
        <v>55</v>
      </c>
      <c r="F29" s="137"/>
      <c r="G29" s="277"/>
      <c r="H29" s="137">
        <f t="shared" si="1"/>
        <v>0</v>
      </c>
      <c r="I29" s="137"/>
      <c r="J29" s="133">
        <f t="shared" si="2"/>
        <v>0</v>
      </c>
      <c r="K29" s="206"/>
    </row>
    <row r="30" spans="1:11" s="133" customFormat="1" ht="12.75" customHeight="1">
      <c r="A30" s="134">
        <f t="shared" si="0"/>
        <v>26</v>
      </c>
      <c r="B30" s="134">
        <v>974031122</v>
      </c>
      <c r="C30" s="133" t="s">
        <v>230</v>
      </c>
      <c r="D30" s="133" t="s">
        <v>21</v>
      </c>
      <c r="E30" s="133">
        <v>80</v>
      </c>
      <c r="F30" s="137"/>
      <c r="G30" s="277"/>
      <c r="H30" s="137">
        <f t="shared" si="1"/>
        <v>0</v>
      </c>
      <c r="I30" s="137"/>
      <c r="J30" s="133">
        <f t="shared" si="2"/>
        <v>0</v>
      </c>
      <c r="K30" s="206"/>
    </row>
    <row r="31" spans="1:11" s="133" customFormat="1" ht="12.75" customHeight="1">
      <c r="A31" s="134">
        <f t="shared" si="0"/>
        <v>27</v>
      </c>
      <c r="B31" s="134">
        <v>210040721</v>
      </c>
      <c r="C31" s="133" t="s">
        <v>231</v>
      </c>
      <c r="D31" s="133" t="s">
        <v>20</v>
      </c>
      <c r="E31" s="133">
        <v>5</v>
      </c>
      <c r="F31" s="137"/>
      <c r="G31" s="277"/>
      <c r="H31" s="137">
        <f t="shared" si="1"/>
        <v>0</v>
      </c>
      <c r="I31" s="137"/>
      <c r="J31" s="133">
        <f t="shared" si="2"/>
        <v>0</v>
      </c>
      <c r="K31" s="206"/>
    </row>
    <row r="32" spans="1:11" s="133" customFormat="1" ht="12.75" customHeight="1">
      <c r="A32" s="134">
        <f t="shared" si="0"/>
        <v>28</v>
      </c>
      <c r="B32" s="134">
        <v>973033141</v>
      </c>
      <c r="C32" s="133" t="s">
        <v>232</v>
      </c>
      <c r="D32" s="133" t="s">
        <v>20</v>
      </c>
      <c r="E32" s="133">
        <v>44</v>
      </c>
      <c r="F32" s="137"/>
      <c r="G32" s="277"/>
      <c r="H32" s="137">
        <f t="shared" si="1"/>
        <v>0</v>
      </c>
      <c r="I32" s="137"/>
      <c r="J32" s="133">
        <f t="shared" si="2"/>
        <v>0</v>
      </c>
      <c r="K32" s="206"/>
    </row>
    <row r="33" spans="1:11" s="133" customFormat="1" ht="12.75" customHeight="1">
      <c r="A33" s="134">
        <f t="shared" si="0"/>
        <v>29</v>
      </c>
      <c r="B33" s="134" t="s">
        <v>115</v>
      </c>
      <c r="C33" s="133" t="s">
        <v>342</v>
      </c>
      <c r="D33" s="133" t="s">
        <v>20</v>
      </c>
      <c r="E33" s="133">
        <v>1</v>
      </c>
      <c r="F33" s="137"/>
      <c r="G33" s="277"/>
      <c r="H33" s="137">
        <f t="shared" si="1"/>
        <v>0</v>
      </c>
      <c r="I33" s="137"/>
      <c r="J33" s="133">
        <f t="shared" si="2"/>
        <v>0</v>
      </c>
      <c r="K33" s="206"/>
    </row>
    <row r="34" spans="1:11" s="133" customFormat="1" ht="12.75" customHeight="1">
      <c r="A34" s="134">
        <f t="shared" si="0"/>
        <v>30</v>
      </c>
      <c r="B34" s="134" t="s">
        <v>115</v>
      </c>
      <c r="C34" s="133" t="s">
        <v>131</v>
      </c>
      <c r="D34" s="133" t="s">
        <v>132</v>
      </c>
      <c r="E34" s="133">
        <v>1</v>
      </c>
      <c r="F34" s="137"/>
      <c r="G34" s="277"/>
      <c r="H34" s="137">
        <f t="shared" si="1"/>
        <v>0</v>
      </c>
      <c r="I34" s="137"/>
      <c r="K34" s="206"/>
    </row>
    <row r="35" spans="1:11" s="133" customFormat="1" ht="12.75" customHeight="1">
      <c r="A35" s="134">
        <f t="shared" si="0"/>
        <v>31</v>
      </c>
      <c r="B35" s="134" t="s">
        <v>25</v>
      </c>
      <c r="C35" s="133" t="s">
        <v>233</v>
      </c>
      <c r="D35" s="133" t="s">
        <v>133</v>
      </c>
      <c r="E35" s="133">
        <v>12</v>
      </c>
      <c r="F35" s="137"/>
      <c r="G35" s="277"/>
      <c r="H35" s="137">
        <f t="shared" si="1"/>
        <v>0</v>
      </c>
      <c r="I35" s="137"/>
      <c r="K35" s="206"/>
    </row>
    <row r="36" spans="1:11" s="133" customFormat="1" ht="12.75" customHeight="1">
      <c r="A36" s="134">
        <f t="shared" si="0"/>
        <v>32</v>
      </c>
      <c r="B36" s="134" t="s">
        <v>25</v>
      </c>
      <c r="C36" s="133" t="s">
        <v>134</v>
      </c>
      <c r="D36" s="133" t="s">
        <v>133</v>
      </c>
      <c r="E36" s="133">
        <v>12</v>
      </c>
      <c r="F36" s="137"/>
      <c r="G36" s="277"/>
      <c r="H36" s="137">
        <f t="shared" si="1"/>
        <v>0</v>
      </c>
      <c r="I36" s="137"/>
      <c r="J36" s="133">
        <f t="shared" si="2"/>
        <v>0</v>
      </c>
      <c r="K36" s="206"/>
    </row>
    <row r="37" spans="1:11" s="133" customFormat="1" ht="12.75" customHeight="1">
      <c r="A37" s="134"/>
      <c r="B37" s="134"/>
      <c r="C37" s="136" t="s">
        <v>135</v>
      </c>
      <c r="F37" s="137"/>
      <c r="G37" s="137"/>
      <c r="H37" s="140">
        <f>SUM(H5:H36)</f>
        <v>0</v>
      </c>
      <c r="I37" s="140"/>
      <c r="J37" s="133">
        <f>SUM(J5:J36)</f>
        <v>0</v>
      </c>
      <c r="K37" s="206"/>
    </row>
    <row r="38" spans="1:11" s="133" customFormat="1" ht="12.75" customHeight="1">
      <c r="A38" s="134"/>
      <c r="B38" s="134"/>
      <c r="C38" s="136"/>
      <c r="F38" s="137"/>
      <c r="G38" s="137"/>
      <c r="H38" s="140"/>
      <c r="I38" s="140"/>
      <c r="K38" s="206"/>
    </row>
    <row r="39" spans="1:11" s="133" customFormat="1" ht="12.75" customHeight="1">
      <c r="A39" s="134"/>
      <c r="B39" s="134"/>
      <c r="C39" s="136"/>
      <c r="F39" s="137"/>
      <c r="G39" s="137"/>
      <c r="H39" s="140"/>
      <c r="I39" s="140"/>
      <c r="K39" s="206"/>
    </row>
    <row r="40" spans="1:11" s="133" customFormat="1" ht="12.75" customHeight="1">
      <c r="A40" s="134"/>
      <c r="B40" s="134"/>
      <c r="C40" s="136" t="s">
        <v>136</v>
      </c>
      <c r="F40" s="137"/>
      <c r="G40" s="137"/>
      <c r="H40" s="137"/>
      <c r="I40" s="137"/>
      <c r="K40" s="206"/>
    </row>
    <row r="41" spans="1:11" s="133" customFormat="1" ht="12.75" customHeight="1">
      <c r="A41" s="134">
        <v>1</v>
      </c>
      <c r="B41" s="134"/>
      <c r="C41" s="133" t="s">
        <v>343</v>
      </c>
      <c r="D41" s="133" t="s">
        <v>20</v>
      </c>
      <c r="E41" s="133">
        <v>1</v>
      </c>
      <c r="F41" s="277"/>
      <c r="G41" s="137"/>
      <c r="H41" s="137">
        <f aca="true" t="shared" si="3" ref="H41:H48">(F41+G41)*E41</f>
        <v>0</v>
      </c>
      <c r="I41" s="137"/>
      <c r="J41" s="133">
        <f>E41*F41</f>
        <v>0</v>
      </c>
      <c r="K41" s="206"/>
    </row>
    <row r="42" spans="1:11" s="133" customFormat="1" ht="12.75" customHeight="1">
      <c r="A42" s="134">
        <f>A41+1</f>
        <v>2</v>
      </c>
      <c r="B42" s="134"/>
      <c r="C42" s="133" t="s">
        <v>234</v>
      </c>
      <c r="D42" s="133" t="s">
        <v>20</v>
      </c>
      <c r="E42" s="133">
        <v>1</v>
      </c>
      <c r="F42" s="277"/>
      <c r="G42" s="137"/>
      <c r="H42" s="137">
        <f t="shared" si="3"/>
        <v>0</v>
      </c>
      <c r="I42" s="137"/>
      <c r="J42" s="133">
        <f aca="true" t="shared" si="4" ref="J42:J48">E42*F42</f>
        <v>0</v>
      </c>
      <c r="K42" s="206"/>
    </row>
    <row r="43" spans="1:11" s="133" customFormat="1" ht="12.75" customHeight="1">
      <c r="A43" s="134">
        <f aca="true" t="shared" si="5" ref="A43:A48">A42+1</f>
        <v>3</v>
      </c>
      <c r="B43" s="134"/>
      <c r="C43" s="133" t="s">
        <v>137</v>
      </c>
      <c r="D43" s="133" t="s">
        <v>20</v>
      </c>
      <c r="E43" s="133">
        <v>1</v>
      </c>
      <c r="F43" s="277"/>
      <c r="G43" s="137"/>
      <c r="H43" s="137">
        <f>(F43+G43)*E43</f>
        <v>0</v>
      </c>
      <c r="I43" s="137"/>
      <c r="K43" s="206"/>
    </row>
    <row r="44" spans="1:11" s="133" customFormat="1" ht="12.75" customHeight="1">
      <c r="A44" s="134">
        <f t="shared" si="5"/>
        <v>4</v>
      </c>
      <c r="B44" s="134"/>
      <c r="C44" s="133" t="s">
        <v>235</v>
      </c>
      <c r="D44" s="133" t="s">
        <v>20</v>
      </c>
      <c r="E44" s="133">
        <v>2</v>
      </c>
      <c r="F44" s="277"/>
      <c r="G44" s="137"/>
      <c r="H44" s="137">
        <f t="shared" si="3"/>
        <v>0</v>
      </c>
      <c r="I44" s="137"/>
      <c r="J44" s="133">
        <f t="shared" si="4"/>
        <v>0</v>
      </c>
      <c r="K44" s="206"/>
    </row>
    <row r="45" spans="1:11" s="133" customFormat="1" ht="12.75" customHeight="1">
      <c r="A45" s="134">
        <f t="shared" si="5"/>
        <v>5</v>
      </c>
      <c r="B45" s="134"/>
      <c r="C45" s="133" t="s">
        <v>236</v>
      </c>
      <c r="D45" s="133" t="s">
        <v>20</v>
      </c>
      <c r="E45" s="133">
        <v>8</v>
      </c>
      <c r="F45" s="277"/>
      <c r="G45" s="137"/>
      <c r="H45" s="137">
        <f t="shared" si="3"/>
        <v>0</v>
      </c>
      <c r="I45" s="137"/>
      <c r="J45" s="133">
        <f t="shared" si="4"/>
        <v>0</v>
      </c>
      <c r="K45" s="206"/>
    </row>
    <row r="46" spans="1:11" s="133" customFormat="1" ht="12.75" customHeight="1">
      <c r="A46" s="134">
        <f t="shared" si="5"/>
        <v>6</v>
      </c>
      <c r="B46" s="134"/>
      <c r="C46" s="133" t="s">
        <v>138</v>
      </c>
      <c r="D46" s="133" t="s">
        <v>21</v>
      </c>
      <c r="E46" s="133">
        <v>0.5</v>
      </c>
      <c r="F46" s="277"/>
      <c r="G46" s="137"/>
      <c r="H46" s="137">
        <f t="shared" si="3"/>
        <v>0</v>
      </c>
      <c r="I46" s="137"/>
      <c r="J46" s="133">
        <f t="shared" si="4"/>
        <v>0</v>
      </c>
      <c r="K46" s="206"/>
    </row>
    <row r="47" spans="1:11" s="133" customFormat="1" ht="12.75" customHeight="1">
      <c r="A47" s="134">
        <f t="shared" si="5"/>
        <v>7</v>
      </c>
      <c r="B47" s="134"/>
      <c r="C47" s="133" t="s">
        <v>139</v>
      </c>
      <c r="D47" s="133" t="s">
        <v>17</v>
      </c>
      <c r="E47" s="133">
        <v>1</v>
      </c>
      <c r="F47" s="277"/>
      <c r="G47" s="137"/>
      <c r="H47" s="137">
        <f t="shared" si="3"/>
        <v>0</v>
      </c>
      <c r="I47" s="137"/>
      <c r="J47" s="133">
        <f t="shared" si="4"/>
        <v>0</v>
      </c>
      <c r="K47" s="206"/>
    </row>
    <row r="48" spans="1:11" s="133" customFormat="1" ht="12.75" customHeight="1">
      <c r="A48" s="134">
        <f t="shared" si="5"/>
        <v>8</v>
      </c>
      <c r="B48" s="134"/>
      <c r="C48" s="133" t="s">
        <v>140</v>
      </c>
      <c r="D48" s="133" t="s">
        <v>17</v>
      </c>
      <c r="E48" s="133">
        <v>1</v>
      </c>
      <c r="F48" s="137"/>
      <c r="G48" s="277"/>
      <c r="H48" s="137">
        <f t="shared" si="3"/>
        <v>0</v>
      </c>
      <c r="I48" s="137"/>
      <c r="J48" s="133">
        <f t="shared" si="4"/>
        <v>0</v>
      </c>
      <c r="K48" s="206"/>
    </row>
    <row r="49" spans="1:11" s="133" customFormat="1" ht="12.75" customHeight="1">
      <c r="A49" s="134"/>
      <c r="B49" s="134"/>
      <c r="C49" s="136" t="s">
        <v>141</v>
      </c>
      <c r="H49" s="140">
        <f>SUM(H41:H48)</f>
        <v>0</v>
      </c>
      <c r="I49" s="140"/>
      <c r="J49" s="133">
        <f>SUM(J41:J48)</f>
        <v>0</v>
      </c>
      <c r="K49" s="206"/>
    </row>
    <row r="50" spans="1:11" s="133" customFormat="1" ht="12.75" customHeight="1">
      <c r="A50" s="134"/>
      <c r="B50" s="134"/>
      <c r="C50" s="136"/>
      <c r="H50" s="140"/>
      <c r="I50" s="140"/>
      <c r="K50" s="206"/>
    </row>
    <row r="51" spans="1:11" s="133" customFormat="1" ht="12.75" customHeight="1">
      <c r="A51" s="134"/>
      <c r="B51" s="134"/>
      <c r="C51" s="136"/>
      <c r="H51" s="140"/>
      <c r="I51" s="140"/>
      <c r="K51" s="206"/>
    </row>
    <row r="52" spans="1:11" s="133" customFormat="1" ht="12.75" customHeight="1">
      <c r="A52" s="134"/>
      <c r="B52" s="134"/>
      <c r="C52" s="136"/>
      <c r="H52" s="140"/>
      <c r="I52" s="140"/>
      <c r="K52" s="206"/>
    </row>
    <row r="53" spans="1:11" s="133" customFormat="1" ht="12.75" customHeight="1">
      <c r="A53" s="134"/>
      <c r="B53" s="134"/>
      <c r="C53" s="136"/>
      <c r="H53" s="140"/>
      <c r="I53" s="140"/>
      <c r="K53" s="206"/>
    </row>
    <row r="54" spans="1:11" s="133" customFormat="1" ht="18" customHeight="1">
      <c r="A54" s="134"/>
      <c r="B54" s="134"/>
      <c r="C54" s="135" t="s">
        <v>142</v>
      </c>
      <c r="H54" s="140"/>
      <c r="I54" s="140"/>
      <c r="K54" s="206"/>
    </row>
    <row r="55" spans="1:11" s="133" customFormat="1" ht="12.75" customHeight="1">
      <c r="A55" s="134"/>
      <c r="B55" s="134"/>
      <c r="C55" s="136" t="s">
        <v>110</v>
      </c>
      <c r="E55" s="134" t="s">
        <v>23</v>
      </c>
      <c r="F55" s="134" t="s">
        <v>111</v>
      </c>
      <c r="G55" s="134" t="s">
        <v>112</v>
      </c>
      <c r="H55" s="134" t="s">
        <v>24</v>
      </c>
      <c r="I55" s="140"/>
      <c r="K55" s="206"/>
    </row>
    <row r="56" spans="1:11" s="133" customFormat="1" ht="12.75" customHeight="1">
      <c r="A56" s="134">
        <v>1</v>
      </c>
      <c r="B56" s="134">
        <v>210111012</v>
      </c>
      <c r="C56" s="133" t="s">
        <v>237</v>
      </c>
      <c r="D56" s="133" t="s">
        <v>20</v>
      </c>
      <c r="E56" s="133">
        <v>1</v>
      </c>
      <c r="F56" s="277"/>
      <c r="G56" s="277"/>
      <c r="H56" s="137">
        <f aca="true" t="shared" si="6" ref="H56:H64">(F56+G56)*E56</f>
        <v>0</v>
      </c>
      <c r="I56" s="140"/>
      <c r="K56" s="206"/>
    </row>
    <row r="57" spans="1:11" s="133" customFormat="1" ht="12.75" customHeight="1">
      <c r="A57" s="134">
        <f>A56+1</f>
        <v>2</v>
      </c>
      <c r="B57" s="134">
        <v>210010301</v>
      </c>
      <c r="C57" s="133" t="s">
        <v>238</v>
      </c>
      <c r="D57" s="133" t="s">
        <v>20</v>
      </c>
      <c r="E57" s="133">
        <v>1</v>
      </c>
      <c r="F57" s="277"/>
      <c r="G57" s="277"/>
      <c r="H57" s="137">
        <f>(F57+G57)*E57</f>
        <v>0</v>
      </c>
      <c r="I57" s="137"/>
      <c r="J57" s="133">
        <f>E57*F57</f>
        <v>0</v>
      </c>
      <c r="K57" s="206"/>
    </row>
    <row r="58" spans="1:11" s="133" customFormat="1" ht="12.75" customHeight="1">
      <c r="A58" s="134">
        <f aca="true" t="shared" si="7" ref="A58:A64">A57+1</f>
        <v>3</v>
      </c>
      <c r="B58" s="134">
        <v>210010321</v>
      </c>
      <c r="C58" s="133" t="s">
        <v>344</v>
      </c>
      <c r="D58" s="133" t="s">
        <v>20</v>
      </c>
      <c r="E58" s="133">
        <v>4</v>
      </c>
      <c r="F58" s="277"/>
      <c r="G58" s="277"/>
      <c r="H58" s="137">
        <f t="shared" si="6"/>
        <v>0</v>
      </c>
      <c r="I58" s="137"/>
      <c r="K58" s="206"/>
    </row>
    <row r="59" spans="1:11" s="133" customFormat="1" ht="12.75" customHeight="1">
      <c r="A59" s="134">
        <f t="shared" si="7"/>
        <v>4</v>
      </c>
      <c r="B59" s="134">
        <v>210800549</v>
      </c>
      <c r="C59" s="133" t="s">
        <v>239</v>
      </c>
      <c r="D59" s="133" t="s">
        <v>21</v>
      </c>
      <c r="E59" s="133">
        <v>15</v>
      </c>
      <c r="F59" s="277"/>
      <c r="G59" s="277"/>
      <c r="H59" s="137">
        <f>(F59+G59)*E59</f>
        <v>0</v>
      </c>
      <c r="I59" s="137"/>
      <c r="K59" s="206"/>
    </row>
    <row r="60" spans="1:11" s="133" customFormat="1" ht="12.75" customHeight="1">
      <c r="A60" s="134">
        <f t="shared" si="7"/>
        <v>5</v>
      </c>
      <c r="B60" s="134">
        <v>210010003</v>
      </c>
      <c r="C60" s="133" t="s">
        <v>240</v>
      </c>
      <c r="D60" s="133" t="s">
        <v>21</v>
      </c>
      <c r="E60" s="133">
        <v>15</v>
      </c>
      <c r="F60" s="277"/>
      <c r="G60" s="277"/>
      <c r="H60" s="137">
        <f t="shared" si="6"/>
        <v>0</v>
      </c>
      <c r="I60" s="137"/>
      <c r="J60" s="133">
        <f>E60*F60</f>
        <v>0</v>
      </c>
      <c r="K60" s="206"/>
    </row>
    <row r="61" spans="1:11" s="133" customFormat="1" ht="12.75" customHeight="1">
      <c r="A61" s="134">
        <f t="shared" si="7"/>
        <v>6</v>
      </c>
      <c r="B61" s="134">
        <v>973033141</v>
      </c>
      <c r="C61" s="133" t="s">
        <v>232</v>
      </c>
      <c r="D61" s="133" t="s">
        <v>20</v>
      </c>
      <c r="E61" s="133">
        <v>5</v>
      </c>
      <c r="F61" s="137"/>
      <c r="G61" s="277"/>
      <c r="H61" s="137">
        <f t="shared" si="6"/>
        <v>0</v>
      </c>
      <c r="I61" s="137"/>
      <c r="K61" s="206"/>
    </row>
    <row r="62" spans="1:11" s="133" customFormat="1" ht="12.75" customHeight="1">
      <c r="A62" s="134">
        <f t="shared" si="7"/>
        <v>7</v>
      </c>
      <c r="B62" s="134">
        <v>974031122</v>
      </c>
      <c r="C62" s="133" t="s">
        <v>230</v>
      </c>
      <c r="D62" s="133" t="s">
        <v>21</v>
      </c>
      <c r="E62" s="133">
        <v>15</v>
      </c>
      <c r="F62" s="137"/>
      <c r="G62" s="277"/>
      <c r="H62" s="137">
        <f t="shared" si="6"/>
        <v>0</v>
      </c>
      <c r="I62" s="137"/>
      <c r="K62" s="206"/>
    </row>
    <row r="63" spans="1:11" s="133" customFormat="1" ht="12.75" customHeight="1">
      <c r="A63" s="134">
        <f t="shared" si="7"/>
        <v>8</v>
      </c>
      <c r="B63" s="134">
        <v>210292041</v>
      </c>
      <c r="C63" s="133" t="s">
        <v>130</v>
      </c>
      <c r="D63" s="133" t="s">
        <v>20</v>
      </c>
      <c r="E63" s="133">
        <v>2</v>
      </c>
      <c r="F63" s="137"/>
      <c r="G63" s="277"/>
      <c r="H63" s="137">
        <f t="shared" si="6"/>
        <v>0</v>
      </c>
      <c r="I63" s="137"/>
      <c r="K63" s="206"/>
    </row>
    <row r="64" spans="1:11" s="133" customFormat="1" ht="12.75" customHeight="1">
      <c r="A64" s="134">
        <f t="shared" si="7"/>
        <v>9</v>
      </c>
      <c r="B64" s="134">
        <v>210040721</v>
      </c>
      <c r="C64" s="133" t="s">
        <v>231</v>
      </c>
      <c r="D64" s="133" t="s">
        <v>20</v>
      </c>
      <c r="E64" s="133">
        <v>2</v>
      </c>
      <c r="F64" s="137"/>
      <c r="G64" s="277"/>
      <c r="H64" s="137">
        <f t="shared" si="6"/>
        <v>0</v>
      </c>
      <c r="I64" s="137"/>
      <c r="K64" s="206"/>
    </row>
    <row r="65" spans="1:11" s="133" customFormat="1" ht="12.75" customHeight="1">
      <c r="A65" s="134"/>
      <c r="B65" s="134"/>
      <c r="C65" s="136" t="s">
        <v>143</v>
      </c>
      <c r="F65" s="137"/>
      <c r="G65" s="137"/>
      <c r="H65" s="140">
        <f>SUM(H56:H64)</f>
        <v>0</v>
      </c>
      <c r="I65" s="137"/>
      <c r="J65" s="133">
        <f>E65*F65</f>
        <v>0</v>
      </c>
      <c r="K65" s="206"/>
    </row>
    <row r="66" spans="1:11" s="133" customFormat="1" ht="12.75" customHeight="1">
      <c r="A66" s="134"/>
      <c r="B66" s="134"/>
      <c r="C66" s="136"/>
      <c r="F66" s="137"/>
      <c r="G66" s="137"/>
      <c r="H66" s="140"/>
      <c r="I66" s="137"/>
      <c r="K66" s="206"/>
    </row>
    <row r="67" spans="1:11" s="133" customFormat="1" ht="12.75" customHeight="1">
      <c r="A67" s="134"/>
      <c r="B67" s="134"/>
      <c r="C67" s="136" t="s">
        <v>102</v>
      </c>
      <c r="K67" s="206"/>
    </row>
    <row r="68" spans="1:12" s="133" customFormat="1" ht="11.25">
      <c r="A68" s="134">
        <v>1</v>
      </c>
      <c r="B68" s="134"/>
      <c r="C68" s="141" t="s">
        <v>241</v>
      </c>
      <c r="D68" s="133" t="s">
        <v>17</v>
      </c>
      <c r="E68" s="133">
        <v>1</v>
      </c>
      <c r="F68" s="137"/>
      <c r="G68" s="277"/>
      <c r="H68" s="137">
        <f>(F68+G68)*E68</f>
        <v>0</v>
      </c>
      <c r="I68" s="142"/>
      <c r="J68" s="133">
        <f>E68*F68</f>
        <v>0</v>
      </c>
      <c r="K68" s="206"/>
      <c r="L68" s="143"/>
    </row>
    <row r="69" spans="1:11" s="133" customFormat="1" ht="13.5" customHeight="1">
      <c r="A69" s="134"/>
      <c r="B69" s="134"/>
      <c r="C69" s="136" t="s">
        <v>144</v>
      </c>
      <c r="D69" s="136"/>
      <c r="E69" s="144"/>
      <c r="F69" s="136"/>
      <c r="G69" s="136"/>
      <c r="H69" s="140">
        <f>SUM(H68:H68)</f>
        <v>0</v>
      </c>
      <c r="I69" s="143"/>
      <c r="J69" s="133">
        <f>SUM(J68:J68)</f>
        <v>0</v>
      </c>
      <c r="K69" s="206"/>
    </row>
    <row r="70" spans="1:11" s="133" customFormat="1" ht="13.5" customHeight="1">
      <c r="A70" s="134"/>
      <c r="B70" s="134"/>
      <c r="C70" s="136"/>
      <c r="D70" s="136"/>
      <c r="E70" s="144"/>
      <c r="F70" s="136"/>
      <c r="G70" s="136"/>
      <c r="H70" s="140"/>
      <c r="I70" s="143"/>
      <c r="K70" s="206"/>
    </row>
    <row r="71" spans="1:11" s="133" customFormat="1" ht="12.75" customHeight="1">
      <c r="A71" s="134"/>
      <c r="B71" s="134"/>
      <c r="C71" s="136" t="s">
        <v>145</v>
      </c>
      <c r="H71" s="140">
        <f>H69+H65+H49+H37</f>
        <v>0</v>
      </c>
      <c r="I71" s="140"/>
      <c r="J71" s="140" t="e">
        <f>#REF!+J49+J37+J69</f>
        <v>#REF!</v>
      </c>
      <c r="K71" s="206"/>
    </row>
    <row r="72" spans="1:11" s="133" customFormat="1" ht="12.75" customHeight="1">
      <c r="A72" s="134"/>
      <c r="B72" s="134"/>
      <c r="C72" s="136" t="s">
        <v>146</v>
      </c>
      <c r="D72" s="145">
        <v>0.15</v>
      </c>
      <c r="H72" s="140">
        <f>H71*D72</f>
        <v>0</v>
      </c>
      <c r="I72" s="140"/>
      <c r="J72" s="140"/>
      <c r="K72" s="206"/>
    </row>
    <row r="73" spans="1:11" s="133" customFormat="1" ht="12.75" customHeight="1">
      <c r="A73" s="134"/>
      <c r="B73" s="134"/>
      <c r="C73" s="146" t="s">
        <v>147</v>
      </c>
      <c r="D73" s="147"/>
      <c r="E73" s="147"/>
      <c r="F73" s="147"/>
      <c r="G73" s="147"/>
      <c r="H73" s="148">
        <f>SUM(H71:H72)</f>
        <v>0</v>
      </c>
      <c r="I73" s="140"/>
      <c r="J73" s="140"/>
      <c r="K73" s="206"/>
    </row>
    <row r="74" spans="1:11" s="133" customFormat="1" ht="12.75" customHeight="1">
      <c r="A74" s="134"/>
      <c r="B74" s="134"/>
      <c r="C74" s="136"/>
      <c r="H74" s="140"/>
      <c r="I74" s="140"/>
      <c r="J74" s="140"/>
      <c r="K74" s="206"/>
    </row>
    <row r="75" spans="1:11" s="133" customFormat="1" ht="12.75" customHeight="1">
      <c r="A75" s="134"/>
      <c r="B75" s="134"/>
      <c r="C75" s="136"/>
      <c r="H75" s="140"/>
      <c r="I75" s="140"/>
      <c r="J75" s="140"/>
      <c r="K75" s="206"/>
    </row>
    <row r="76" spans="1:11" s="133" customFormat="1" ht="13.5" customHeight="1">
      <c r="A76" s="134"/>
      <c r="B76" s="134"/>
      <c r="C76" s="136" t="s">
        <v>148</v>
      </c>
      <c r="K76" s="206"/>
    </row>
    <row r="77" spans="1:11" s="133" customFormat="1" ht="106.5" customHeight="1">
      <c r="A77" s="134"/>
      <c r="B77" s="134"/>
      <c r="C77" s="215" t="s">
        <v>149</v>
      </c>
      <c r="D77" s="215"/>
      <c r="E77" s="215"/>
      <c r="F77" s="215"/>
      <c r="G77" s="215"/>
      <c r="H77" s="215"/>
      <c r="I77" s="149"/>
      <c r="K77" s="206"/>
    </row>
    <row r="78" spans="1:11" s="133" customFormat="1" ht="13.5" customHeight="1">
      <c r="A78" s="134"/>
      <c r="B78" s="134"/>
      <c r="C78" s="216" t="s">
        <v>12</v>
      </c>
      <c r="D78" s="216"/>
      <c r="E78" s="216"/>
      <c r="F78" s="216"/>
      <c r="G78" s="216"/>
      <c r="H78" s="216"/>
      <c r="K78" s="206"/>
    </row>
    <row r="79" spans="1:11" s="133" customFormat="1" ht="13.5" customHeight="1">
      <c r="A79" s="134"/>
      <c r="B79" s="134"/>
      <c r="C79" s="209" t="s">
        <v>150</v>
      </c>
      <c r="D79" s="209"/>
      <c r="E79" s="209"/>
      <c r="F79" s="209"/>
      <c r="G79" s="209"/>
      <c r="H79" s="209"/>
      <c r="K79" s="206"/>
    </row>
    <row r="80" spans="1:11" s="133" customFormat="1" ht="27.75" customHeight="1">
      <c r="A80" s="134"/>
      <c r="B80" s="134"/>
      <c r="C80" s="211" t="s">
        <v>151</v>
      </c>
      <c r="D80" s="211"/>
      <c r="E80" s="211"/>
      <c r="F80" s="211"/>
      <c r="G80" s="211"/>
      <c r="H80" s="211"/>
      <c r="K80" s="206"/>
    </row>
    <row r="81" spans="1:11" s="133" customFormat="1" ht="13.5" customHeight="1">
      <c r="A81" s="134"/>
      <c r="B81" s="134"/>
      <c r="C81" s="209" t="s">
        <v>152</v>
      </c>
      <c r="D81" s="209"/>
      <c r="E81" s="209"/>
      <c r="F81" s="209"/>
      <c r="G81" s="209"/>
      <c r="H81" s="209"/>
      <c r="K81" s="206"/>
    </row>
    <row r="82" spans="1:11" s="133" customFormat="1" ht="13.5" customHeight="1">
      <c r="A82" s="134"/>
      <c r="B82" s="134"/>
      <c r="C82" s="210" t="s">
        <v>153</v>
      </c>
      <c r="D82" s="210"/>
      <c r="E82" s="210"/>
      <c r="F82" s="210"/>
      <c r="G82" s="210"/>
      <c r="H82" s="210"/>
      <c r="K82" s="206"/>
    </row>
    <row r="83" spans="1:11" s="133" customFormat="1" ht="13.5" customHeight="1">
      <c r="A83" s="134"/>
      <c r="B83" s="134"/>
      <c r="C83" s="150" t="s">
        <v>154</v>
      </c>
      <c r="D83" s="150"/>
      <c r="E83" s="150"/>
      <c r="F83" s="150"/>
      <c r="G83" s="150"/>
      <c r="H83" s="150"/>
      <c r="K83" s="206"/>
    </row>
    <row r="84" spans="3:8" ht="24.75" customHeight="1">
      <c r="C84" s="211" t="s">
        <v>15</v>
      </c>
      <c r="D84" s="211"/>
      <c r="E84" s="211"/>
      <c r="F84" s="211"/>
      <c r="G84" s="211"/>
      <c r="H84" s="211"/>
    </row>
    <row r="85" spans="3:8" ht="27.75" customHeight="1">
      <c r="C85" s="211" t="s">
        <v>16</v>
      </c>
      <c r="D85" s="211"/>
      <c r="E85" s="211"/>
      <c r="F85" s="211"/>
      <c r="G85" s="211"/>
      <c r="H85" s="211"/>
    </row>
    <row r="86" spans="3:8" ht="15" customHeight="1">
      <c r="C86" s="211" t="s">
        <v>45</v>
      </c>
      <c r="D86" s="211"/>
      <c r="E86" s="211"/>
      <c r="F86" s="211"/>
      <c r="G86" s="211"/>
      <c r="H86" s="211"/>
    </row>
    <row r="88" spans="3:8" ht="12.75" customHeight="1">
      <c r="C88" s="214"/>
      <c r="D88" s="213"/>
      <c r="E88" s="213"/>
      <c r="F88" s="213"/>
      <c r="G88" s="213"/>
      <c r="H88" s="213"/>
    </row>
    <row r="89" spans="3:8" ht="12.75">
      <c r="C89" s="213"/>
      <c r="D89" s="213"/>
      <c r="E89" s="213"/>
      <c r="F89" s="213"/>
      <c r="G89" s="213"/>
      <c r="H89" s="213"/>
    </row>
  </sheetData>
  <sheetProtection password="C4F8" sheet="1" selectLockedCells="1"/>
  <mergeCells count="11">
    <mergeCell ref="C88:H89"/>
    <mergeCell ref="C77:H77"/>
    <mergeCell ref="C78:H78"/>
    <mergeCell ref="C79:H79"/>
    <mergeCell ref="C80:H80"/>
    <mergeCell ref="C81:H81"/>
    <mergeCell ref="C82:H82"/>
    <mergeCell ref="C84:H84"/>
    <mergeCell ref="B1:J1"/>
    <mergeCell ref="C85:H85"/>
    <mergeCell ref="C86:H86"/>
  </mergeCells>
  <conditionalFormatting sqref="C78">
    <cfRule type="expression" priority="1" dxfId="3" stopIfTrue="1">
      <formula>ISTEXT(C78)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Šiška</dc:creator>
  <cp:keywords/>
  <dc:description/>
  <cp:lastModifiedBy>tomashromadko</cp:lastModifiedBy>
  <cp:lastPrinted>2019-01-25T15:42:17Z</cp:lastPrinted>
  <dcterms:created xsi:type="dcterms:W3CDTF">2015-06-09T11:12:40Z</dcterms:created>
  <dcterms:modified xsi:type="dcterms:W3CDTF">2020-04-20T11:51:33Z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