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285" windowWidth="28650" windowHeight="7515" tabRatio="721" activeTab="0"/>
  </bookViews>
  <sheets>
    <sheet name="OBJEKT_CELKOVÉ NÁKLADY" sheetId="1" r:id="rId1"/>
    <sheet name="ESA_ESI" sheetId="2" r:id="rId2"/>
  </sheets>
  <definedNames>
    <definedName name="_2d">#REF!</definedName>
    <definedName name="cc">'OBJEKT_CELKOVÉ NÁKLADY'!#REF!</definedName>
    <definedName name="ccc">'OBJEKT_CELKOVÉ NÁKLADY'!#REF!</definedName>
    <definedName name="cccc">'OBJEKT_CELKOVÉ NÁKLADY'!#REF!</definedName>
    <definedName name="ccccc">'OBJEKT_CELKOVÉ NÁKLADY'!#REF!</definedName>
    <definedName name="cccccc">'OBJEKT_CELKOVÉ NÁKLADY'!#REF!</definedName>
    <definedName name="ccccccc">'OBJEKT_CELKOVÉ NÁKLADY'!#REF!</definedName>
    <definedName name="ccccccccc">'OBJEKT_CELKOVÉ NÁKLADY'!#REF!</definedName>
    <definedName name="cccccccccc">'OBJEKT_CELKOVÉ NÁKLADY'!#REF!</definedName>
    <definedName name="ccccccccccc">'OBJEKT_CELKOVÉ NÁKLADY'!#REF!</definedName>
    <definedName name="ce">'OBJEKT_CELKOVÉ NÁKLADY'!#REF!</definedName>
    <definedName name="cen">'OBJEKT_CELKOVÉ NÁKLADY'!#REF!</definedName>
    <definedName name="cena">'OBJEKT_CELKOVÉ NÁKLADY'!#REF!</definedName>
    <definedName name="Cena_">'OBJEKT_CELKOVÉ NÁKLADY'!#REF!</definedName>
    <definedName name="Cena_1">'OBJEKT_CELKOVÉ NÁKLADY'!$H$118</definedName>
    <definedName name="Cena_2a">'OBJEKT_CELKOVÉ NÁKLADY'!$H$143</definedName>
    <definedName name="Cena_2b">'OBJEKT_CELKOVÉ NÁKLADY'!$H$164</definedName>
    <definedName name="Cena_2c">'OBJEKT_CELKOVÉ NÁKLADY'!$H$244</definedName>
    <definedName name="Cena_2d">'OBJEKT_CELKOVÉ NÁKLADY'!$H$365</definedName>
    <definedName name="Cena_2e">'OBJEKT_CELKOVÉ NÁKLADY'!$H$380</definedName>
    <definedName name="Cena_2f">'OBJEKT_CELKOVÉ NÁKLADY'!$H$414</definedName>
    <definedName name="Cena_2g">'OBJEKT_CELKOVÉ NÁKLADY'!$H$476</definedName>
    <definedName name="Cena_2h">'OBJEKT_CELKOVÉ NÁKLADY'!$H$482</definedName>
    <definedName name="Cena_2i">'OBJEKT_CELKOVÉ NÁKLADY'!$H$440</definedName>
    <definedName name="Cena_2j">'OBJEKT_CELKOVÉ NÁKLADY'!$H$277</definedName>
    <definedName name="Cena_2k">'OBJEKT_CELKOVÉ NÁKLADY'!$H$293</definedName>
    <definedName name="Cena_2l">'OBJEKT_CELKOVÉ NÁKLADY'!$H$316</definedName>
    <definedName name="Cena_2m">'OBJEKT_CELKOVÉ NÁKLADY'!$H$329</definedName>
    <definedName name="Cena_3a">'OBJEKT_CELKOVÉ NÁKLADY'!$H$476</definedName>
    <definedName name="Cena_3b">'OBJEKT_CELKOVÉ NÁKLADY'!$H$482</definedName>
    <definedName name="Cena_3c">'OBJEKT_CELKOVÉ NÁKLADY'!$H$440</definedName>
    <definedName name="Cena_3d">'OBJEKT_CELKOVÉ NÁKLADY'!$H$277</definedName>
    <definedName name="Cena_3e">'OBJEKT_CELKOVÉ NÁKLADY'!#REF!</definedName>
    <definedName name="Cena_3f">'OBJEKT_CELKOVÉ NÁKLADY'!#REF!</definedName>
    <definedName name="Cena_3g">'OBJEKT_CELKOVÉ NÁKLADY'!#REF!</definedName>
    <definedName name="Cena_4a">'OBJEKT_CELKOVÉ NÁKLADY'!#REF!</definedName>
    <definedName name="Cena_4b">'OBJEKT_CELKOVÉ NÁKLADY'!#REF!</definedName>
    <definedName name="Cena_4c">'OBJEKT_CELKOVÉ NÁKLADY'!#REF!</definedName>
    <definedName name="Cena_4d">'OBJEKT_CELKOVÉ NÁKLADY'!#REF!</definedName>
    <definedName name="Cena_4e">'OBJEKT_CELKOVÉ NÁKLADY'!#REF!</definedName>
    <definedName name="Cena_5">'OBJEKT_CELKOVÉ NÁKLADY'!#REF!</definedName>
    <definedName name="Cena_6">'OBJEKT_CELKOVÉ NÁKLADY'!#REF!</definedName>
    <definedName name="Cena_dokoncovaci_prace">'OBJEKT_CELKOVÉ NÁKLADY'!$H$488</definedName>
    <definedName name="Cena_doplňky_dodavatele">'OBJEKT_CELKOVÉ NÁKLADY'!#REF!</definedName>
    <definedName name="Dokoncovaci_prace">'OBJEKT_CELKOVÉ NÁKLADY'!$D$484</definedName>
    <definedName name="Doplňky_dodavatele">'OBJEKT_CELKOVÉ NÁKLADY'!#REF!</definedName>
    <definedName name="kap">'OBJEKT_CELKOVÉ NÁKLADY'!#REF!</definedName>
    <definedName name="kap5">'OBJEKT_CELKOVÉ NÁKLADY'!#REF!</definedName>
    <definedName name="kap6">'OBJEKT_CELKOVÉ NÁKLADY'!#REF!</definedName>
    <definedName name="kapc">'OBJEKT_CELKOVÉ NÁKLADY'!#REF!</definedName>
    <definedName name="kapd">'OBJEKT_CELKOVÉ NÁKLADY'!#REF!</definedName>
    <definedName name="kape">'OBJEKT_CELKOVÉ NÁKLADY'!#REF!</definedName>
    <definedName name="Kapitola_1">'OBJEKT_CELKOVÉ NÁKLADY'!$D$81</definedName>
    <definedName name="Kapitola_2">'OBJEKT_CELKOVÉ NÁKLADY'!$D$120</definedName>
    <definedName name="Kapitola_2a">'OBJEKT_CELKOVÉ NÁKLADY'!$D$121</definedName>
    <definedName name="Kapitola_2b">'OBJEKT_CELKOVÉ NÁKLADY'!$D$145</definedName>
    <definedName name="Kapitola_2c">'OBJEKT_CELKOVÉ NÁKLADY'!$D$166</definedName>
    <definedName name="Kapitola_2d">'OBJEKT_CELKOVÉ NÁKLADY'!$D$348</definedName>
    <definedName name="Kapitola_2e">'OBJEKT_CELKOVÉ NÁKLADY'!$D$367</definedName>
    <definedName name="Kapitola_2f">'OBJEKT_CELKOVÉ NÁKLADY'!$D$383</definedName>
    <definedName name="Kapitola_2g">'OBJEKT_CELKOVÉ NÁKLADY'!$D$472</definedName>
    <definedName name="Kapitola_2h">'OBJEKT_CELKOVÉ NÁKLADY'!$D$478</definedName>
    <definedName name="Kapitola_2i">'OBJEKT_CELKOVÉ NÁKLADY'!$D$416</definedName>
    <definedName name="Kapitola_2j">'OBJEKT_CELKOVÉ NÁKLADY'!$D$246</definedName>
    <definedName name="Kapitola_2k">'OBJEKT_CELKOVÉ NÁKLADY'!$D$279</definedName>
    <definedName name="Kapitola_2l">'OBJEKT_CELKOVÉ NÁKLADY'!$D$295</definedName>
    <definedName name="Kapitola_2m">'OBJEKT_CELKOVÉ NÁKLADY'!$D$318</definedName>
    <definedName name="Kapitola_3">'OBJEKT_CELKOVÉ NÁKLADY'!#REF!</definedName>
    <definedName name="Kapitola_4">'OBJEKT_CELKOVÉ NÁKLADY'!#REF!</definedName>
    <definedName name="Kapitola_4a">'OBJEKT_CELKOVÉ NÁKLADY'!#REF!</definedName>
    <definedName name="Kapitola_4b">'OBJEKT_CELKOVÉ NÁKLADY'!#REF!</definedName>
    <definedName name="Kapitola_4c">'OBJEKT_CELKOVÉ NÁKLADY'!#REF!</definedName>
    <definedName name="Kapitola_4d">'OBJEKT_CELKOVÉ NÁKLADY'!#REF!</definedName>
    <definedName name="Kapitola_4e">'OBJEKT_CELKOVÉ NÁKLADY'!#REF!</definedName>
    <definedName name="Kapitola_5">'OBJEKT_CELKOVÉ NÁKLADY'!#REF!</definedName>
    <definedName name="Kapitola_6">'OBJEKT_CELKOVÉ NÁKLADY'!#REF!</definedName>
    <definedName name="_xlnm.Print_Titles" localSheetId="0">'OBJEKT_CELKOVÉ NÁKLADY'!$2:$2</definedName>
    <definedName name="_xlnm.Print_Area" localSheetId="0">'OBJEKT_CELKOVÉ NÁKLADY'!$A$1:$H$489</definedName>
    <definedName name="rek3">'OBJEKT_CELKOVÉ NÁKLADY'!#REF!</definedName>
    <definedName name="rek4">'OBJEKT_CELKOVÉ NÁKLADY'!#REF!</definedName>
    <definedName name="rek4b">'OBJEKT_CELKOVÉ NÁKLADY'!#REF!</definedName>
    <definedName name="rek4c">'OBJEKT_CELKOVÉ NÁKLADY'!#REF!</definedName>
    <definedName name="rek4d">'OBJEKT_CELKOVÉ NÁKLADY'!#REF!</definedName>
    <definedName name="reka">'OBJEKT_CELKOVÉ NÁKLADY'!#REF!</definedName>
    <definedName name="Rekapitulace_1">'OBJEKT_CELKOVÉ NÁKLADY'!$D$11</definedName>
    <definedName name="Rekapitulace_2">'OBJEKT_CELKOVÉ NÁKLADY'!$D$12</definedName>
    <definedName name="Rekapitulace_2a">'OBJEKT_CELKOVÉ NÁKLADY'!$D$13</definedName>
    <definedName name="Rekapitulace_2b">'OBJEKT_CELKOVÉ NÁKLADY'!$D$14</definedName>
    <definedName name="Rekapitulace_2c">'OBJEKT_CELKOVÉ NÁKLADY'!$D$15</definedName>
    <definedName name="Rekapitulace_2d">'OBJEKT_CELKOVÉ NÁKLADY'!$D$22</definedName>
    <definedName name="Rekapitulace_2e">'OBJEKT_CELKOVÉ NÁKLADY'!$D$23</definedName>
    <definedName name="Rekapitulace_2f">'OBJEKT_CELKOVÉ NÁKLADY'!$D$24</definedName>
    <definedName name="Rekapitulace_2g">'OBJEKT_CELKOVÉ NÁKLADY'!$D$28</definedName>
    <definedName name="Rekapitulace_2h">'OBJEKT_CELKOVÉ NÁKLADY'!$D$29</definedName>
    <definedName name="Rekapitulace_2i">'OBJEKT_CELKOVÉ NÁKLADY'!$D$25</definedName>
    <definedName name="Rekapitulace_2j">'OBJEKT_CELKOVÉ NÁKLADY'!$D$16</definedName>
    <definedName name="Rekapitulace_2k">'OBJEKT_CELKOVÉ NÁKLADY'!$D$17</definedName>
    <definedName name="Rekapitulace_2l">'OBJEKT_CELKOVÉ NÁKLADY'!$D$18</definedName>
    <definedName name="Rekapitulace_2m">'OBJEKT_CELKOVÉ NÁKLADY'!$D$19</definedName>
    <definedName name="Rekapitulace_3">'OBJEKT_CELKOVÉ NÁKLADY'!#REF!</definedName>
    <definedName name="Rekapitulace_3a">'OBJEKT_CELKOVÉ NÁKLADY'!$D$29</definedName>
    <definedName name="Rekapitulace_3b">'OBJEKT_CELKOVÉ NÁKLADY'!#REF!</definedName>
    <definedName name="Rekapitulace_3c">'OBJEKT_CELKOVÉ NÁKLADY'!#REF!</definedName>
    <definedName name="Rekapitulace_3d">'OBJEKT_CELKOVÉ NÁKLADY'!#REF!</definedName>
    <definedName name="Rekapitulace_3e">'OBJEKT_CELKOVÉ NÁKLADY'!#REF!</definedName>
    <definedName name="Rekapitulace_3f">'OBJEKT_CELKOVÉ NÁKLADY'!#REF!</definedName>
    <definedName name="Rekapitulace_3g">'OBJEKT_CELKOVÉ NÁKLADY'!#REF!</definedName>
    <definedName name="Rekapitulace_4">'OBJEKT_CELKOVÉ NÁKLADY'!#REF!</definedName>
    <definedName name="Rekapitulace_4a">'OBJEKT_CELKOVÉ NÁKLADY'!#REF!</definedName>
    <definedName name="Rekapitulace_4b">'OBJEKT_CELKOVÉ NÁKLADY'!#REF!</definedName>
    <definedName name="Rekapitulace_4c">'OBJEKT_CELKOVÉ NÁKLADY'!#REF!</definedName>
    <definedName name="Rekapitulace_4d">'OBJEKT_CELKOVÉ NÁKLADY'!#REF!</definedName>
    <definedName name="Rekapitulace_4e">'OBJEKT_CELKOVÉ NÁKLADY'!#REF!</definedName>
    <definedName name="Rekapitulace_5">'OBJEKT_CELKOVÉ NÁKLADY'!#REF!</definedName>
    <definedName name="Rekapitulace_6">'OBJEKT_CELKOVÉ NÁKLADY'!#REF!</definedName>
    <definedName name="Rekapitulace_Dokončovací_práce">'OBJEKT_CELKOVÉ NÁKLADY'!$D$30</definedName>
    <definedName name="Rekapitulace_Doplňky_dodavatele">'OBJEKT_CELKOVÉ NÁKLADY'!#REF!</definedName>
    <definedName name="rekb">'OBJEKT_CELKOVÉ NÁKLADY'!#REF!</definedName>
    <definedName name="rekc">'OBJEKT_CELKOVÉ NÁKLADY'!#REF!</definedName>
    <definedName name="rekd">'OBJEKT_CELKOVÉ NÁKLADY'!#REF!</definedName>
    <definedName name="reke">'OBJEKT_CELKOVÉ NÁKLADY'!#REF!</definedName>
    <definedName name="rekf">'OBJEKT_CELKOVÉ NÁKLADY'!#REF!</definedName>
    <definedName name="rekg">'OBJEKT_CELKOVÉ NÁKLADY'!#REF!</definedName>
  </definedNames>
  <calcPr fullCalcOnLoad="1"/>
</workbook>
</file>

<file path=xl/sharedStrings.xml><?xml version="1.0" encoding="utf-8"?>
<sst xmlns="http://schemas.openxmlformats.org/spreadsheetml/2006/main" count="1564" uniqueCount="720">
  <si>
    <t>205.4 =  (2,83-2,2)*(6,66-1,53)-0,6*0,37</t>
  </si>
  <si>
    <t>205.5 =  (0,9+1,4+0,45)*2,5</t>
  </si>
  <si>
    <t>205.2 = (16,1-2,7)*2,89-0,9*2,15-0,7*2,15+0,15*2*1,87+0,15*1,47-1,47*1,87</t>
  </si>
  <si>
    <t>205.1 =  0</t>
  </si>
  <si>
    <t>205.2 = 12</t>
  </si>
  <si>
    <t>205.3 = 16,3</t>
  </si>
  <si>
    <t>205.1 =  (2,5*10,44)-2*0,8*2,15-1,06*2,1-0,9*2,15</t>
  </si>
  <si>
    <t>205.3 = (17,6*2,88)-(2*0,9*2,15)-3,7*0,6+0,15*2*1,88+0,15*1,49-1,49*1,88</t>
  </si>
  <si>
    <t>Odstranění stávajících maleb oškrábáním (STROPY) H do 3,8m, mimo SDK podhled.</t>
  </si>
  <si>
    <t>Odstranění stávajících maleb oškrábáním (STĚNY) H do 3,8m, mimo přizdívky.</t>
  </si>
  <si>
    <t>Hliníková VZT mřížka fasády se síťkou Ø 100mm</t>
  </si>
  <si>
    <t>Ukončovací výfuková protidešťová střížka, včetně propojovacích prvků</t>
  </si>
  <si>
    <t>Elektrický topný žebřík vč. regulátoru teploty, 400W, 600/30/960mm</t>
  </si>
  <si>
    <t>D4-D</t>
  </si>
  <si>
    <t>D5-D</t>
  </si>
  <si>
    <t>Elektrický topný žebřík vč. regulátoru teploty, 300W, 450/30/960mm</t>
  </si>
  <si>
    <t>Nespalná podlaha u plynového topidla, ocelový plech 300/1000mm a 300/500mm, tl.2,0mm, nátěr tmavě šedá, zkosené rohy</t>
  </si>
  <si>
    <t>Bandáž koutů - provedení</t>
  </si>
  <si>
    <t xml:space="preserve">Tmelení spár silikonem, obklad, sokl - dlažba, obklad vnitřní rohy , tmelení návazností na zárubně, zařizovací předměty </t>
  </si>
  <si>
    <t>Demontáž lišt dřevěných, přibíjených</t>
  </si>
  <si>
    <t>KDI2</t>
  </si>
  <si>
    <t xml:space="preserve">Vysávání podlah prům.vysavačem </t>
  </si>
  <si>
    <t>Minerální vata (40kg/m3) podhledu tl. 40mm</t>
  </si>
  <si>
    <t>SK1,2D</t>
  </si>
  <si>
    <t>Montáž parozábrany s přelepením spojů</t>
  </si>
  <si>
    <t>Dočištění povrchu po vybourání dlažeb, MC do 50%</t>
  </si>
  <si>
    <t>Broušení nerovností betonových podlah do 5 mm; odhad 10% plochy (bude upřesněno po provedení bouracích prací)</t>
  </si>
  <si>
    <t>Vysávání podlah prům.vysavačem pro pokládku dlažby</t>
  </si>
  <si>
    <t xml:space="preserve">Potěr samonivelační ručně tl. 2 mm, vyrovnávací, pevnosti 15 MPa; odhad 100% plochy </t>
  </si>
  <si>
    <t>965048515R00</t>
  </si>
  <si>
    <t>771101101R00</t>
  </si>
  <si>
    <t>632415102RT2</t>
  </si>
  <si>
    <t>Úprava sádrokartonové příčky pro osazení umyvadla</t>
  </si>
  <si>
    <t>Kombi klozet s hlubokým splachováním odpad vodorovný, vč. sedátka a připojovací tlakové hadice - specifikace dle PD</t>
  </si>
  <si>
    <t>Spojovací a kotevní materiál</t>
  </si>
  <si>
    <t>Keramický obklad 200/600mm dle specifikace v PD, vč. prořezu 10%</t>
  </si>
  <si>
    <t>Keramický obklad 200/400mm dle specifikace v PD, vč. prořezu 10%</t>
  </si>
  <si>
    <t>Keramický obklad 200/600mm - dekor pruhy dle specifikace v PD, vč. prořezu 10%</t>
  </si>
  <si>
    <t>205.5 =  8,22*2,4-0,8*2,15+0,73*0,05</t>
  </si>
  <si>
    <t>205.4 =  6,66*2,6-0,8*2,15-0,6*1,1+(2*1,1+0,6)*0,15+0,83*0,05</t>
  </si>
  <si>
    <t>Provedení hydroizol. stěrky pod dlažby dvouvrstvé vč. osazení systémových prvků</t>
  </si>
  <si>
    <t>3a</t>
  </si>
  <si>
    <t>Zdravotechnika - demontáže</t>
  </si>
  <si>
    <t xml:space="preserve">Demontáž připojovacího potrubí kanalizace, vodovodu </t>
  </si>
  <si>
    <t>725290010RA0</t>
  </si>
  <si>
    <t>725290020RA0</t>
  </si>
  <si>
    <t>Demontáž umyvadla včetně baterie a konzol</t>
  </si>
  <si>
    <t>725810811R00</t>
  </si>
  <si>
    <t>Svislá doprava suti a vybour. hmot za 2.NP nošením</t>
  </si>
  <si>
    <t>Odvoz suti a vybour. hmot na skládku do 1 km</t>
  </si>
  <si>
    <t>Příplatek k odvozu za každý další 1 km (započteno +9 km)</t>
  </si>
  <si>
    <t>KD(I)1</t>
  </si>
  <si>
    <t>Poplatek za skládku suti</t>
  </si>
  <si>
    <t>3b</t>
  </si>
  <si>
    <t>3c</t>
  </si>
  <si>
    <t>3d</t>
  </si>
  <si>
    <t>3e</t>
  </si>
  <si>
    <t>3f</t>
  </si>
  <si>
    <t>3g</t>
  </si>
  <si>
    <t>Zdravotechnika</t>
  </si>
  <si>
    <t>776511810RT1</t>
  </si>
  <si>
    <t>721176105R00</t>
  </si>
  <si>
    <t>Vyvedení odpadních výpustek D 110 x 2,7 (wc)</t>
  </si>
  <si>
    <t>721194109R00</t>
  </si>
  <si>
    <t>Montáž klozetových mís kombinovaných</t>
  </si>
  <si>
    <t>Obklad soklíků keram.rovných, tmel,výška 100 mm do lepidla vč. spár. a úpravy horní hrany v návaznosti na omítku</t>
  </si>
  <si>
    <t>Keramická dlažba dle specifikace v PD (sokl - proveden pásky 100 mm z řezané dlažby)</t>
  </si>
  <si>
    <t>Montáž podlah keram.,režné hladké, včetně lepícího tmelu, 30/30cm</t>
  </si>
  <si>
    <r>
      <t>Keramická dlažba 300/300mm dle specifikace</t>
    </r>
    <r>
      <rPr>
        <i/>
        <sz val="10"/>
        <color indexed="40"/>
        <rFont val="Arial"/>
        <family val="2"/>
      </rPr>
      <t xml:space="preserve"> </t>
    </r>
    <r>
      <rPr>
        <i/>
        <sz val="10"/>
        <color indexed="49"/>
        <rFont val="Arial"/>
        <family val="2"/>
      </rPr>
      <t>v PD vč. prořezu 10%, včetně lepícího tmelu</t>
    </r>
  </si>
  <si>
    <t>Bojler, elektrický ohřívač vody s keramickým topným tělesem, závěsný, svislý, 100l, výška do 1,0m, průměr do 530mm</t>
  </si>
  <si>
    <t>775413040R00</t>
  </si>
  <si>
    <t>725119305R00</t>
  </si>
  <si>
    <t>Vyvedení odpadních výpustek D 50 x 1,8 (sprcha)</t>
  </si>
  <si>
    <t>725869204R00</t>
  </si>
  <si>
    <t>Montáž uzávěrek zápach.dřez.jednoduchý D 40</t>
  </si>
  <si>
    <t>763761201R00</t>
  </si>
  <si>
    <t>416021123R00</t>
  </si>
  <si>
    <t>Demontáž lokálního ohřívače vody a likvidace</t>
  </si>
  <si>
    <t>Příplatek za vytvoření kluzného napojení do 55 mm</t>
  </si>
  <si>
    <t>V2,5</t>
  </si>
  <si>
    <t>Není-li uvedeno jinak jsou položky uvažovány jako dodávka. Montáž a kompletace jsou uvedeny jako souborné položky. Součástí nacenění budou všechny systémové doplňky, kotevní, upevňovací prostředky, montážní sady a jiný pomocný materiál specifikovaný v technických a montážních předpisech vybraného výrobce. Položky zařizovacích předmětů jsou detailně popsány v projektové dokumentaci.</t>
  </si>
  <si>
    <t>Není-li uvedeno jinak jsou položky uvažovány společně dodávka i montáž. Součástí nacenění budou všechny systémové doplňky, kotevní, upevňovací prostředky a jiný pomocný materiál specifikovaný v technických a montážních předpisech vybraného výrobce.</t>
  </si>
  <si>
    <t>Nerezová (kartáčovaná) ukončovací lišta (kuchyň), profilu L10mm, L=3m</t>
  </si>
  <si>
    <t>Al ukončovací lišta (přírodní) profilu L10mm (přizdívky,okno), L=3m</t>
  </si>
  <si>
    <r>
      <t>Těsnící stěrka dle specifikace v PD, předpokládaná spotřeba 1,5kg/m</t>
    </r>
    <r>
      <rPr>
        <i/>
        <vertAlign val="superscript"/>
        <sz val="10"/>
        <color indexed="49"/>
        <rFont val="Arial"/>
        <family val="2"/>
      </rPr>
      <t>2</t>
    </r>
  </si>
  <si>
    <t>968072455R00</t>
  </si>
  <si>
    <t>965081713RT2</t>
  </si>
  <si>
    <t>Bourání dlažeb keramických tl.10 mm, nad 1 m2, sbíječka, dlaždice keramické</t>
  </si>
  <si>
    <t>725820801R00</t>
  </si>
  <si>
    <t>725860811R00</t>
  </si>
  <si>
    <t>725220851R00</t>
  </si>
  <si>
    <t>Demontáž van včetně vybourání obezdezdívky</t>
  </si>
  <si>
    <t>Bourání příček deskových,sádrokartonových tl.10 cm</t>
  </si>
  <si>
    <t>784011221RT2</t>
  </si>
  <si>
    <t>968061125R00</t>
  </si>
  <si>
    <t>962084131R00</t>
  </si>
  <si>
    <t>342270040RAB</t>
  </si>
  <si>
    <t>Příčka, přizdívka z tvárnic porobet. tl. 50 mm hlad. tvárnice 600 x 250 x 50 mm, P 4 - 600, vč. spražení s zděnou stěnou (navrtané trny nebo pásovina do každé třetí spáry po cca 1,0 m</t>
  </si>
  <si>
    <t>Podezdívka sprchové vanička (900/900mm) výšky do 150 mm  tl. 100 mm vč.provedení revizního otvoru pro obklad na silikon (návaznosti na spádové možnosti kanalizace , pokud vyjde je možné vaničku osadit přímo na dlažbu)</t>
  </si>
  <si>
    <t>Předstěna SDK jednoduše opláštěňá s akustickou deskou, tl.65mm, vč. MW, dodávky nosných profilů CW 50, tmelení, broušení a zatmelení návazností na zděné stěny (akrylátovým tmelem), dle specifikace v PD</t>
  </si>
  <si>
    <t>Potrubí z PPR, D 25x4,2 mm, PN 20, vč. zed. výpom.</t>
  </si>
  <si>
    <t>Tlaková zkouška vodovodního potrubí DN32</t>
  </si>
  <si>
    <t>725869101R00</t>
  </si>
  <si>
    <t>Montáž baterie umyv.a dřezové stojánkové</t>
  </si>
  <si>
    <t>725819402R00</t>
  </si>
  <si>
    <t>Montáž ventilu rohového bez trubičky G 1/2</t>
  </si>
  <si>
    <t>Demontáž kuchyňské linky (l cca 1,8m), včetně dřevěného obložení stěny a likvidace</t>
  </si>
  <si>
    <t>721194103R00</t>
  </si>
  <si>
    <t>Vyvedení odpadních výpustek D 32 x 1,8 (pro umyvadlo)</t>
  </si>
  <si>
    <t>721194104R00</t>
  </si>
  <si>
    <t>Vyvedení odpadních výpustek D 40 x 1,8 (pro dřez)</t>
  </si>
  <si>
    <t>721194105R00</t>
  </si>
  <si>
    <t>Montáž sprchových koutů (vanička vč. napojení na sifon, zástěna)</t>
  </si>
  <si>
    <t>Montáž držáku sprchy</t>
  </si>
  <si>
    <t>725849302R00</t>
  </si>
  <si>
    <t>Revizní kovová dvířka s tlačným zámkem a závesy 200/400mm (u uzávěru vody a vodměru), včetně kotvícího materiálu</t>
  </si>
  <si>
    <t>RTS kody</t>
  </si>
  <si>
    <t>Odstranění PVC, z ploch 10 - 20 m2</t>
  </si>
  <si>
    <t>Akustická příčka dvojitá z SDK dvojitě opláštěné, tl.155mm, vč. MW, dodávky nosných profilů CW 50, tmelení, broušení a zatmelení návazností na zděné stěny (akrylátovým tmelem), dle specifikace v PD</t>
  </si>
  <si>
    <t>342091082R00</t>
  </si>
  <si>
    <t>Příplatek k příčce sádrokart. za plochu do 5 m2</t>
  </si>
  <si>
    <t>342091043R00</t>
  </si>
  <si>
    <t>Příplatek za vložení vrstvy tepelné izolace</t>
  </si>
  <si>
    <t>416091082R00</t>
  </si>
  <si>
    <t>784402801R00</t>
  </si>
  <si>
    <t>Chránička PPR pozinkovaný žlab</t>
  </si>
  <si>
    <t>Potrubí HT připojovací DN 110 x 2,7mm, vč. nezbytných kolen, odboček, redukcí a montáže</t>
  </si>
  <si>
    <t>Potrubí HT připojovací D 50 x 1,8 mm, vč. nezbytných kolen, odboček, redukcí a montáže</t>
  </si>
  <si>
    <t>Potrubí HT připojovací D 75 x 1,9 mm, vč. nezbytných kolen, odboček, redukcí a montáže</t>
  </si>
  <si>
    <t>Omítka stěn vnitřní tenkovrstvá vápenná - štuk, ruční provedení, položka obsahuje nátěr podkladu spojovacím můstkem, STROP</t>
  </si>
  <si>
    <t>Penetrace podkladu pod obklady, položka obsahuje provedení penetračního nátěru včetně dodávky materiálu.</t>
  </si>
  <si>
    <t>781101210RT2</t>
  </si>
  <si>
    <t>612474410R00</t>
  </si>
  <si>
    <t>Obkládání stěn vnitř.keram. do tmele do 200x400 mm, položka obsahuje lepící a spárovací tmel (kuchyň)</t>
  </si>
  <si>
    <t>781475118RT1</t>
  </si>
  <si>
    <t>781475120RT1</t>
  </si>
  <si>
    <t>Obkládání stěn vnitř.keram. do tmele do 200x600 mm , položka obsahuje lepící a spárovací tmel, vč. ostění a parapetu okna koupelny</t>
  </si>
  <si>
    <t>781111121R00</t>
  </si>
  <si>
    <t>Montáž lišt rohových, vanových a dilatačních</t>
  </si>
  <si>
    <t>781101142R00</t>
  </si>
  <si>
    <t>Hydroizolační stěrka dvouvrstvá pod obklady</t>
  </si>
  <si>
    <t>771101147R00</t>
  </si>
  <si>
    <t>612481211RT2</t>
  </si>
  <si>
    <t xml:space="preserve">Malba standard, bílá, bez penetr.,min. 2x stěny a stropy </t>
  </si>
  <si>
    <t>784115212R00</t>
  </si>
  <si>
    <t>721176103R00</t>
  </si>
  <si>
    <t>721176104R00</t>
  </si>
  <si>
    <t>D+M</t>
  </si>
  <si>
    <t>722172331R00</t>
  </si>
  <si>
    <t>722181213RT7</t>
  </si>
  <si>
    <t>722181214RT7</t>
  </si>
  <si>
    <t>722202221R00</t>
  </si>
  <si>
    <t>722202213R00</t>
  </si>
  <si>
    <t>722290215R00</t>
  </si>
  <si>
    <t>722290234R00</t>
  </si>
  <si>
    <t xml:space="preserve">Proplach a dezinfekce vodovod.potrubí </t>
  </si>
  <si>
    <t>Montáž umyvadel na šrouby do zdiva</t>
  </si>
  <si>
    <t>725219401R00</t>
  </si>
  <si>
    <t xml:space="preserve">Umyvadlový sifon s vtokem vč. napojovací manžety chrom </t>
  </si>
  <si>
    <t>Baterie umyvadlová stoján. Ruční páková, bez otvír.odpadu standard vč.flexo hadiček</t>
  </si>
  <si>
    <t>725829202R00</t>
  </si>
  <si>
    <t>725249101R00</t>
  </si>
  <si>
    <t>Vaničkový sifon, průměr otvoru 90 mm, DN50, krytka leštěná nerez průměr 120 mm, otvor sifonu 90 mm, průměr odpadu 50 mm, průtok 39 l/min, shora čistitelný odpadní systém</t>
  </si>
  <si>
    <t>Montáž baterií sprchových termostatických</t>
  </si>
  <si>
    <t>725849202R00</t>
  </si>
  <si>
    <t>725319101R00</t>
  </si>
  <si>
    <t>Montáž dřezů jednoduchých</t>
  </si>
  <si>
    <t>Montáž dveří, oc. zárubeň, kyvné 1kř. š. do 1 m</t>
  </si>
  <si>
    <t>766664121R00</t>
  </si>
  <si>
    <t>Montáž kliky a štítku</t>
  </si>
  <si>
    <t>766670021R00</t>
  </si>
  <si>
    <t>T01 D+M</t>
  </si>
  <si>
    <t>766812114R00</t>
  </si>
  <si>
    <t>642944121R00</t>
  </si>
  <si>
    <t>965048250R00</t>
  </si>
  <si>
    <t>771101142R00</t>
  </si>
  <si>
    <t>771575118RT1</t>
  </si>
  <si>
    <t>771475014RU7</t>
  </si>
  <si>
    <t>Montáž podlahových lišt přechodových</t>
  </si>
  <si>
    <t>V3 -M</t>
  </si>
  <si>
    <t>V3- D</t>
  </si>
  <si>
    <t>Malba sádrokarto (příčky, podhledy)</t>
  </si>
  <si>
    <t>Malba stěny</t>
  </si>
  <si>
    <t>Malba stropy</t>
  </si>
  <si>
    <t>Příplatek k podhledu sádrokart. za plochu do 5 m2</t>
  </si>
  <si>
    <t>Pokládka a srovnání 1 vrstvy sypkého materiálu do tl. 100mm</t>
  </si>
  <si>
    <t>784111101R00</t>
  </si>
  <si>
    <t xml:space="preserve">Penetrace podkladu nátěrem </t>
  </si>
  <si>
    <t>Chemickém ošetření zhlaví nosných stropních trámů - rezerva</t>
  </si>
  <si>
    <t>Zpětná úprava podlahy po chemickém ošetření zhlaví nosných stropních trámů - rezerva</t>
  </si>
  <si>
    <t>Vyspravení sondy podlahy 0,4/0,4m místnosti č.205.3</t>
  </si>
  <si>
    <t>Rezerva - úprava komínové hlavy</t>
  </si>
  <si>
    <t>Minerální vata (15kg/m3) tl. 40mm</t>
  </si>
  <si>
    <t>Práh dřevěný d. 860 mm, š.250mm, vč. povrchové úpravy a kotvení</t>
  </si>
  <si>
    <t>Dveře dřevěné vnitřní 1křídlové 700x2100mm dle specifikace v PD</t>
  </si>
  <si>
    <t>Dveře dřevěné vnitřní , prosklené, 1křídlové 800x2100mm dle specifikace v PD</t>
  </si>
  <si>
    <t>Dveře dřevěné vnitřní 1křídlové 800x2100mm dle specifikace v PD</t>
  </si>
  <si>
    <t>Dveře dřevěné vstupní 1křídlové 860x2040 cm, s požární odlností EI30DP3, včetně obložkové zárubně, dle specifikace v PD</t>
  </si>
  <si>
    <t>DT1</t>
  </si>
  <si>
    <t>W1</t>
  </si>
  <si>
    <t>Síťka proti hmyzu (okno WC) 610/1100mm</t>
  </si>
  <si>
    <t>Vestavná nerezová digestoř ref. výrobek. FABER MAXIMA TOUCH EV8 X A60, vč. montáže</t>
  </si>
  <si>
    <t>Úhelník nerovnoramenný L jakost S235 50x50x4 mm vč. povrchové úpravy</t>
  </si>
  <si>
    <t>Úhelník nerovnoramenný L jakost S235 100x75x7 mm (podlahový) vč. povrchové úpravy a kotvících prvků</t>
  </si>
  <si>
    <t>Montáž revizních dvířek, mřížek</t>
  </si>
  <si>
    <t>V5</t>
  </si>
  <si>
    <t>Tvarovka pro napojení na odvod kondenzátu</t>
  </si>
  <si>
    <t>Není-li uvedeno jinak jsou položky uvažovány jako dodávka. Montáž a kompletace jsou uvedeny jako souborné položky. Součástí nacenění budou všechny systémové doplňky, kotevní, upevňovací prostředky a jiný pomocný materiál specifikovaný v technických a montážních předpisech vybraného výrobce.</t>
  </si>
  <si>
    <t>Plyn</t>
  </si>
  <si>
    <t>Kohout kulový 1/2" plyn</t>
  </si>
  <si>
    <t>Hadice flexi plyn 500 mm 1/2"</t>
  </si>
  <si>
    <t>Zkouška plynu dle ČSN, zkouška pevnosti a těsnosti</t>
  </si>
  <si>
    <t>Provedení revize plynovodu</t>
  </si>
  <si>
    <t>Plynové topidlo 4,7kW, specifikace dle PD</t>
  </si>
  <si>
    <t>Plynové topidlo 2,5kW, specifikace dle PD</t>
  </si>
  <si>
    <t>Rezerva. Demontáž nefunkčního plynového potrubí před dveřmi na schodišti</t>
  </si>
  <si>
    <t>Baterie sprchová nástěnná páková včetně sprchového setu a příslušenství - specifikace dle PD</t>
  </si>
  <si>
    <t>Dřez jednoduchý nerezový (400x500) se zápachovou uzávěrkou, specifikace dle PD</t>
  </si>
  <si>
    <t>počet mj</t>
  </si>
  <si>
    <t>cena mj</t>
  </si>
  <si>
    <t>cena celkem</t>
  </si>
  <si>
    <t>Rekapitulace</t>
  </si>
  <si>
    <t>Celkem základní cena</t>
  </si>
  <si>
    <t>Náklady umístění stavby (NÚS)</t>
  </si>
  <si>
    <t>Zařízení staveniště</t>
  </si>
  <si>
    <t>DPH stavby</t>
  </si>
  <si>
    <t>Celkem vč. DPH</t>
  </si>
  <si>
    <t>Poznámky pro uchazeče</t>
  </si>
  <si>
    <t>Jednotkové ceny by měly obsahovat:</t>
  </si>
  <si>
    <t>b) náklady na opatření k zajištění bezpečnosti práce</t>
  </si>
  <si>
    <t xml:space="preserve">e) náklady na protihluková a protiprašná zařízení </t>
  </si>
  <si>
    <t>U systémových řešení předpokládáme, že se dodavatel seznámí s typovou dokumentací výrobce a ve své ceně zohlední jak úplné řešení standardní, tak i všechny případné modifikace v průměrné ceně za běžnou jednotku, pokud nejsou v této specifikaci výslovně samostatně uvedeny.</t>
  </si>
  <si>
    <t>Některé výměry v této specifikaci jsou orientační (převážně jsou uvažovány na horní hranici možných dodávek a prací); je žádoucí, aby fakturovány byly pouze skutečně provedené práce.</t>
  </si>
  <si>
    <t>Nedílnou součástí tohoto výkazu je i projektová dokumentace. Pokud dle názoru dodavatele některé práce a dodávky ve výkazu výměr chybí, doplní je do oddílu "Doplňky dodavatele".</t>
  </si>
  <si>
    <t>kpl</t>
  </si>
  <si>
    <t>m2</t>
  </si>
  <si>
    <t>Celkem</t>
  </si>
  <si>
    <t>ks</t>
  </si>
  <si>
    <t>m</t>
  </si>
  <si>
    <t>t</t>
  </si>
  <si>
    <t>počet</t>
  </si>
  <si>
    <t>celkem</t>
  </si>
  <si>
    <t>HZS</t>
  </si>
  <si>
    <t>%</t>
  </si>
  <si>
    <t xml:space="preserve">Uvedené referenční výrobky v PD a ve výkazu výměr nejsou pro zhotovitele závazné. Projektantem jsou uvedeny jako příklad vhodného produktu. Zhotovitel je oprávněn zvolit jiné, srovnatelné materiály, jež zabezpečí shodnou anebo vyšší technickou hodnotu díla. Nabízené materiály předloží objednateli ke schválení a dosažení požadovaných parametrů doloží hodnověrnými dokumenty (atesty, výsledky zkoušek, doklad o shodě apod.). Kde zhotovitel nabídne srovnatelný výrobek nebo materiál na místo označeného nebo specifikovaného, který byl přijat k začlenění do díla, pak se má zato, že sazby a ceny ve výkazu výměr zahrnují veškeré povinnosti a náklady spojené se začleněním srovnatelného výrobku do díla.  </t>
  </si>
  <si>
    <t>2</t>
  </si>
  <si>
    <t>D</t>
  </si>
  <si>
    <t>M</t>
  </si>
  <si>
    <t xml:space="preserve">Jednotková cena by měla vždy, pokud není samostatně uvedeno, obsahovat dodávku a montáž příslušné položky. Technické parametry materiálů a výrobků jsou uvedeny v PD. Zhotovitel při nacenění jednotlivých položek musí zohlednit tyto technické parametry.  </t>
  </si>
  <si>
    <t>kg</t>
  </si>
  <si>
    <t>Pokud není samostaně uvedeno v jedn. cenách kalkulována svislá doprava vč. naložení na dopravní prostředek</t>
  </si>
  <si>
    <t>Pokud nejsou výrobky vyspecifikovány ve výkazu, platí specifikace uvedená v projektové dokumentaci</t>
  </si>
  <si>
    <t>Dokončovací práce</t>
  </si>
  <si>
    <t>M+D</t>
  </si>
  <si>
    <t>2a</t>
  </si>
  <si>
    <t>2b</t>
  </si>
  <si>
    <t>2c</t>
  </si>
  <si>
    <t>2d</t>
  </si>
  <si>
    <t>2e</t>
  </si>
  <si>
    <t>2f</t>
  </si>
  <si>
    <t>2g</t>
  </si>
  <si>
    <t>Konstrukce zámečnické</t>
  </si>
  <si>
    <t xml:space="preserve">Přesun hmot, doprava, režie - stanovený procentní sazbou </t>
  </si>
  <si>
    <t>Soupis stavebních prací, výkonů a služeb</t>
  </si>
  <si>
    <t>Pokud nejsou výměry uvedeny ve vzorci u jednotlivých buněk, byly změřeny z CAD výkresu</t>
  </si>
  <si>
    <t>Přesun hmot, doprava, režie - stanovený procentní sazbou</t>
  </si>
  <si>
    <t xml:space="preserve">a) náklady na veškerou svislou a vodorovnou dopravu na staveništi, náklady na dopravu materiálu na staveniště, staveništní přesun hmot a u bourání manipulaci se sutí, její odvoz a uložení na skládku do 20-ti km včetně poplatku, pokud nebudou tyto položky uvedeny dodavatelem v samostatné položce </t>
  </si>
  <si>
    <t>c)  všechny potřebné pomocné dodávky a práce pro upevnění, zabezpečení funkčnosti a finální pohledové 
úpravy, které jsou běžně součástí dodávaného výrobku nebo systému  nebo jsou předepsány projektem a 
nejsou výslovně uvedeny jako samostatné položky</t>
  </si>
  <si>
    <t>d) náklady na zakrývání (nebo jiné zajištění) konstrukcí a prací ostatních zhotovitelů nebo stávajících konstrukcí před znečištěním a poškozením a odstranění zakrytí</t>
  </si>
  <si>
    <t>f) náklady na zkoušky a atesty během výstavby, výkresy skutečného provedení a zúčtovací podklady</t>
  </si>
  <si>
    <t>g)  náklady na požadované záruky, pojištění a ostatní finanční náklady</t>
  </si>
  <si>
    <t>Stěny a příčky</t>
  </si>
  <si>
    <t>Není-li uvedeno jinak jsou položky uvažovány společně dodávka i montáž. Položky označené kódem jsou detailně popsány v tabulce skladeb konstrukcí a povrchových úprav.</t>
  </si>
  <si>
    <t>Zdravotechnika - vnitřní kanalizace</t>
  </si>
  <si>
    <t>Zdravotechnika - vnitřní vodovod</t>
  </si>
  <si>
    <t xml:space="preserve">Zdravotechnika - zařizovací předměty, armatury </t>
  </si>
  <si>
    <t>Vzduchotechnika</t>
  </si>
  <si>
    <t>Konstrukce truhlářské</t>
  </si>
  <si>
    <t>Podlahy z dlaždic</t>
  </si>
  <si>
    <t>Není-li uvedeno jinak jsou položky uvažovány společně dodávka i montáž. Součástí nacenění budou všechny systémové doplňky, kotevní a upevňovací prostředky, úpravy spár a rohů a jiný pomocný materiál specifikovaný v technických a montážních předpisech vybraného výrobce. Položky označené kódem jsou detailně popsány v tabulce skladeb konstrukcí a povrchových úprav.</t>
  </si>
  <si>
    <t>KDI1-M</t>
  </si>
  <si>
    <t>KDI1-D</t>
  </si>
  <si>
    <t>Těsnící stěrka, předpokládaná spotřeba 1,5 kg/m2</t>
  </si>
  <si>
    <t>Není-li uvedeno jinak jsou položky uvažovány společně dodávka i montáž. Součástí nacenění budou všechny systémové doplňky, kotevní a upevňovací prostředky, tmelení spár a rohů a jiný pomocný materiál specifikovaný v technických a montážních předpisech vybraného výrobce. V ceně bude zakalkulováno pomocné lešení. Položky označené kódem jsou detailně popsány v tabulce skladeb konstrukcí a povrchových úprav.</t>
  </si>
  <si>
    <t>Není-li uvedeno jinak jsou položky uvažovány společně dodávka i montáž. Součástí nacenění budou všechny systémové doplňky, kotevní a upevňovací prostředky, tmelení spár a rohů a jiný pomocný materiál specifikovaný v technických a montážních předpisech vybraného výrobce. Položky označené kódem jsou detailně popsány v tabulce skladeb konstrukcí a povrchových úprav.</t>
  </si>
  <si>
    <t>Zkouška těsnosti potrubí kanalizace vodou do DN 125</t>
  </si>
  <si>
    <t>Příplatek za nestandardní povrchovou úpravu Q3</t>
  </si>
  <si>
    <t>KD1-D</t>
  </si>
  <si>
    <t>SOK1-D</t>
  </si>
  <si>
    <t>SOK1-M</t>
  </si>
  <si>
    <t>Následující kompletizované výrobky jsou detailně popsány v technických parametrech výplní otvorů (popř. ve výpisu prvků PSV), dle kterých je nutno provést ocenění. Není-li uvedeno jinak jsou položky uvažovány společně dodávka i montáž. Součástí nacenění budou všechny systémové doplňky, kotevní a upevňovací prostředky a jiný pomocný materiál uvedený v technických parametrech výplní otvorů, souboru stavebních detailů a v technických a montážních předpisech vybraného výrobce.</t>
  </si>
  <si>
    <t>D1-D</t>
  </si>
  <si>
    <t>Závěrečné omytí schodišť a vstupních prostor</t>
  </si>
  <si>
    <t>Uložení ostatních vybouraných hmot na skládku vč. poplatků za skládkovné</t>
  </si>
  <si>
    <t>Vnitrostaveništní doprava suti a vybouraných hmot</t>
  </si>
  <si>
    <t>Vyvěšení dřevěných dveřních křídel pl. do 2 m2</t>
  </si>
  <si>
    <t>Demontáž uzávěrek zápachových jednoduchých</t>
  </si>
  <si>
    <t>Autonomní hlásič kouře</t>
  </si>
  <si>
    <t>Uzávěrka zápachová pračková podomítková společná s připojovacím kolenem na vodovod, nerez krytka</t>
  </si>
  <si>
    <t>Materiál + montáž silnoproudých rozvodů celkem</t>
  </si>
  <si>
    <t>Rozvodnice RB celkem</t>
  </si>
  <si>
    <t>Různé</t>
  </si>
  <si>
    <t>Kapitola silnoproudých elektroinstalačních prací vč. demontáží stávajících prvků je detailně rozepsána v samostatném listu, který je nedílnou součástí tohoto soupisu stavebních prací, výkonů a služeb. Níže jsou uvedeny pouze dílčí součtové položky jednotlivých kapitol členěné dle samostatného listu</t>
  </si>
  <si>
    <t>Kapitola slaboproudých elektroinstalačních prací vč. demontáží stávajících prvků je detailně rozepsána v samostatném listu, který je nedílnou součástí tohoto soupisu stavebních prací, výkonů a služeb. Níže jsou uvedeny pouze dílčí součtové položky jednotlivých kapitol členěné dle samostatného listu</t>
  </si>
  <si>
    <t>soubor</t>
  </si>
  <si>
    <t>Demontáže VZT zařízení jsou popsány v kapitole Přípravné, bourací a sanační práce. Není-li uvedeno jinak jsou položky uvažovány jako dodávka. Montáž a kompletace jsou uvedeny jako souborné položky. Součástí nacenění budou všechny systémové doplňky, kotevní, upevňovací prostředky a jiný pomocný materiál specifikovaný v technických a montážních předpisech vybraného výrobce. Položky vzduchotechnických výrobků jsou detailně popsány v projektové dokumentaci.</t>
  </si>
  <si>
    <t>Ventil rohový G 1/2 bez připojovací hadičky</t>
  </si>
  <si>
    <t>ELEKTROINSTALACE</t>
  </si>
  <si>
    <t>SILNOPROUD</t>
  </si>
  <si>
    <t>Položka</t>
  </si>
  <si>
    <t>Materiál + montáž</t>
  </si>
  <si>
    <t>materiál</t>
  </si>
  <si>
    <t>montáž</t>
  </si>
  <si>
    <t>B - svítidlo stropní  LED,16W, IP20</t>
  </si>
  <si>
    <t>R</t>
  </si>
  <si>
    <t>zásuvka 230V</t>
  </si>
  <si>
    <t>zásuvka 230V  s ochranou před přepětím</t>
  </si>
  <si>
    <t>spínač č.1 - jednopólový</t>
  </si>
  <si>
    <t>rámeček 1x - jednoduchý</t>
  </si>
  <si>
    <t>rámeček 2x, dvojrámeček</t>
  </si>
  <si>
    <t>krabice přístrojová KP</t>
  </si>
  <si>
    <t>hmoždinky vč.vrutu, vrtání</t>
  </si>
  <si>
    <t>vodič CY 4 - zel.žl.</t>
  </si>
  <si>
    <t>rozvodnice RB</t>
  </si>
  <si>
    <t>přezkoušení vedení</t>
  </si>
  <si>
    <t>práce neoceněné položkami ceníku (drobný pomocný materiál)</t>
  </si>
  <si>
    <t>soub</t>
  </si>
  <si>
    <t>hod</t>
  </si>
  <si>
    <t>revize el.zařízení</t>
  </si>
  <si>
    <t xml:space="preserve">Materiál + montáž silnoproud celkem </t>
  </si>
  <si>
    <t>svorkovnice KLM</t>
  </si>
  <si>
    <t>zapojení rozvaděče</t>
  </si>
  <si>
    <t>SLABOPROUD</t>
  </si>
  <si>
    <t xml:space="preserve">Materiál + montáž slaboproud celkem </t>
  </si>
  <si>
    <t>Dokumentace skutečného provedení (2 vyhotovení)</t>
  </si>
  <si>
    <t xml:space="preserve">Celkem </t>
  </si>
  <si>
    <t>Celkové rozpočtové náklady elektroinstalace bez DPH</t>
  </si>
  <si>
    <t xml:space="preserve">DPH </t>
  </si>
  <si>
    <t>Cena vč. DPH</t>
  </si>
  <si>
    <t>Poznámky pro zhotovitele</t>
  </si>
  <si>
    <t xml:space="preserve">Uvedené technické parametry jsou pro zhotovitele závazné. Zhotovitel je oprávněn zvolit jiné, srovnatelné materiály, jež zabezpečí shodnou anebo vyšší technickou hodnotu díla. Nabízené materiály předloží objednateli ke schválení a dosažení požadovaných parametrů doloží hodnověrnými dokumenty (atesty, výsledky zkoušek, doklad o shodě apod.). Kde zhotovitel nabídne srovnatelný výrobek nebo materiál na místo označeného nebo specifikovaného, který byl přijat k začlenění do díla, pak se má zato, že sazby a ceny ve výkazu výměr zahrnují veškeré povinnosti a náklady spojené se začleněním srovnatelného výrobku do díla.  </t>
  </si>
  <si>
    <t xml:space="preserve"> - náklady na opatření k zajištění bezpečnosti práce</t>
  </si>
  <si>
    <t xml:space="preserve"> -  všechny potřebné pomocné dodávky a práce pro upevnění, zabezpečení funkčnosti a finální pohledové 
úpravy, které jsou běžně součástí dodávaného výrobku nebo systému  nebo jsou předepsány projektem a 
nejsou výslovně uvedeny jako samostatné položky ;</t>
  </si>
  <si>
    <t xml:space="preserve"> - náklady na protihluková a protiprašná zařízení </t>
  </si>
  <si>
    <t xml:space="preserve"> - náklady na požadované záruky, pojištění a ostatní finanční náklady.</t>
  </si>
  <si>
    <t xml:space="preserve"> - náklady na prořez a ztratné zabudovaného materiálu</t>
  </si>
  <si>
    <t>Materiál + montáž slaboproud celkem</t>
  </si>
  <si>
    <t>Zakrytí okenních výplní PE folií vč. dodání</t>
  </si>
  <si>
    <t>Stavební úpravy bytové jednotky</t>
  </si>
  <si>
    <t>Izolace návleková  tl. stěny 20 mm vnitřní průměr 25 mm</t>
  </si>
  <si>
    <t>D2-D</t>
  </si>
  <si>
    <t>Podlahová lišta dle specifikace v PD vč. prořezu 10%</t>
  </si>
  <si>
    <t>Izolace návleková  tl. stěny 13 mm vnitřní průměr 25 mm</t>
  </si>
  <si>
    <t>Kompletační činnost včetně pravidelného úklidu staveniště</t>
  </si>
  <si>
    <t>SK1-D</t>
  </si>
  <si>
    <t>SOK2-D</t>
  </si>
  <si>
    <t>SOK2-M</t>
  </si>
  <si>
    <t>o</t>
  </si>
  <si>
    <t>Rozdělení podle investic a oprav (bez NÚS a DPH)</t>
  </si>
  <si>
    <t>Opravy</t>
  </si>
  <si>
    <t>Investice</t>
  </si>
  <si>
    <t>Rozdělení NÚS podle investic a oprav</t>
  </si>
  <si>
    <t>Rozdělení podle investic a oprav vč. NÚS bez DPH</t>
  </si>
  <si>
    <t>i</t>
  </si>
  <si>
    <t>Cena bez DPH</t>
  </si>
  <si>
    <t>KD(I)1-M</t>
  </si>
  <si>
    <t>Přípravné a bourací práce</t>
  </si>
  <si>
    <t xml:space="preserve">Tmelení akrylátovým tmelem </t>
  </si>
  <si>
    <t>Úpravy povrchů vnitřní (stěny, stropy)</t>
  </si>
  <si>
    <t>Hydroizolační koutová těsnící páska vč. rohových tvarovek (svislé stěny)</t>
  </si>
  <si>
    <t>Hydroizolační koutová těsnící páska vč. rohových tvarovek (vororovné plochy)</t>
  </si>
  <si>
    <t>DU1</t>
  </si>
  <si>
    <t>DU2</t>
  </si>
  <si>
    <t>DU3-M</t>
  </si>
  <si>
    <t>DU3a-D</t>
  </si>
  <si>
    <t>DU3b-D</t>
  </si>
  <si>
    <t>DU3-D</t>
  </si>
  <si>
    <t xml:space="preserve"> </t>
  </si>
  <si>
    <t>V2</t>
  </si>
  <si>
    <t>D3-D</t>
  </si>
  <si>
    <t xml:space="preserve">Montáž dřevěné soklové podlahové lišty </t>
  </si>
  <si>
    <t>V1</t>
  </si>
  <si>
    <t xml:space="preserve">Elektroinstalace - silnoproud </t>
  </si>
  <si>
    <t>Elektroinstalace - slaboproud</t>
  </si>
  <si>
    <r>
      <rPr>
        <i/>
        <sz val="10"/>
        <rFont val="Arial CE"/>
        <family val="2"/>
      </rPr>
      <t>Investor:</t>
    </r>
    <r>
      <rPr>
        <sz val="14"/>
        <rFont val="Arial CE"/>
        <family val="2"/>
      </rPr>
      <t xml:space="preserve"> Městská Část Praha 5 zastoupená firmou Centra a.s.</t>
    </r>
  </si>
  <si>
    <t>svorka Bernard vč.Cu pásku</t>
  </si>
  <si>
    <t>krabicová rozvodka KR 68</t>
  </si>
  <si>
    <t>ukončení vodiče</t>
  </si>
  <si>
    <t>sekání průrazů</t>
  </si>
  <si>
    <t>sekání (vrtání) otvoru pro krabice</t>
  </si>
  <si>
    <t>demontážní práce</t>
  </si>
  <si>
    <t>proudový chránič 16/1N/0,03</t>
  </si>
  <si>
    <t>televizní zásuvka STA</t>
  </si>
  <si>
    <t>Vybourání ocelových dveřních zárubní pl. do 2 m2 ze zdiva vč. prahu</t>
  </si>
  <si>
    <t>Baterie dřezová stojánková páková směšovací, chrom,  vč.flexo hadiček - specifikace dle PD</t>
  </si>
  <si>
    <t xml:space="preserve">opravy </t>
  </si>
  <si>
    <t xml:space="preserve">investice </t>
  </si>
  <si>
    <t xml:space="preserve">kontrola </t>
  </si>
  <si>
    <t>Osazení ocelové zárubně dodatečně, do 2,5m2</t>
  </si>
  <si>
    <t>Podlahy dřevěné a povlakové</t>
  </si>
  <si>
    <t>Oblouk horizontální 90°</t>
  </si>
  <si>
    <t>DU3</t>
  </si>
  <si>
    <t>zapojení digestoře</t>
  </si>
  <si>
    <t>poznámka</t>
  </si>
  <si>
    <t>Nástěnka závitová plastová PPR PN 20, 25x4.2, 1/2</t>
  </si>
  <si>
    <t>Nástěnný komplet (Nástěnka dvojitá závitová plastová) PPR PN 20, 25x4.2, 1/2</t>
  </si>
  <si>
    <t>Zpětná klapka pro potrubí 100 mm</t>
  </si>
  <si>
    <t>VZT PVC potrubí plastové kruhové hladké potrubí 100mm včetně spojek a upevňovacích spon</t>
  </si>
  <si>
    <t>Radiální ventilátor pro horizontální montáž dle spec. ve TZ</t>
  </si>
  <si>
    <t>Stavební úpravy bytové jednotky č.5, Na Březince 2033/17, 150 00 Praha 5</t>
  </si>
  <si>
    <t>0,52*2,1+0,63*2,57+0,14*2,1</t>
  </si>
  <si>
    <t>koupelna 1,33*2,86+0,5*2,86</t>
  </si>
  <si>
    <t>m3</t>
  </si>
  <si>
    <t>m.č. 205.2,  tl. 50mm</t>
  </si>
  <si>
    <t>kuchyň  (2,05+0,5)*2,75</t>
  </si>
  <si>
    <t>2,5+3</t>
  </si>
  <si>
    <t xml:space="preserve">Montáž SDK kastlíku jednoduše opláštěného na jednoúrovňovým roštu, vč dodávky CD+UD profilů; vč. tmelení, broušení a zatmelení návazností na zděné stěny (akrylátovým tmelem) - půdorysná plocha </t>
  </si>
  <si>
    <t>V4</t>
  </si>
  <si>
    <t>Drobné dozdívky původních prostupů (plyn topidlo)</t>
  </si>
  <si>
    <t>DS1,2-D</t>
  </si>
  <si>
    <t>205.4 =  0</t>
  </si>
  <si>
    <t>205.5 =  0</t>
  </si>
  <si>
    <t>příčky (2,28*2,57)-0,9*2,15-0,8*2,15+0,1*2,15</t>
  </si>
  <si>
    <t xml:space="preserve">Montáž výztužné sítě (perlinky) do stěrky - vnit.stěny, stropy včetně výztužné sítě, stěrkového tmelu </t>
  </si>
  <si>
    <t>koupelna 0,9*2,5+1,53*2,7+(0,73+0,85)*1,25</t>
  </si>
  <si>
    <t>205.1 =  0+(2,5*10,44)-2*0,8*2,15-1,06*2,1-0,9*2,15</t>
  </si>
  <si>
    <t>205.5 =  0+8,22*2,5-0,8*2,15</t>
  </si>
  <si>
    <t>205.3 = 16,3+(17,6*2,88)-(2*0,9*2,15)+0,15*2*1,88+0,15*1,49-1,49*1,88</t>
  </si>
  <si>
    <t>205.2 = 12+(16,1-2,7)*2,89-0,9*2,15-0,7*2,15+0,15*2*1,87+0,15*1,47-1,47*1,87</t>
  </si>
  <si>
    <t>205.4 =  0+(2,7*6,66)-0,6*1,1-0,8*2,15+(2*1,1+0,6)*0,15</t>
  </si>
  <si>
    <t>Topení</t>
  </si>
  <si>
    <t>Vanička sprchová čtvercová 900x900/30 mm litý mramor vč. sifonu - specifikace dle PD</t>
  </si>
  <si>
    <t>Rezerva pro přemístění vodoměru a uzávěru vody</t>
  </si>
  <si>
    <t>Nezezová hadice FLEX, stěna 2x 0,12mm, DN120</t>
  </si>
  <si>
    <t>Demontáž plynového sporáku</t>
  </si>
  <si>
    <t>Vybourání dřevěných dveřních zárubní pl. do 2 m2</t>
  </si>
  <si>
    <t>Demontáž ventilu výtokového nástěnného</t>
  </si>
  <si>
    <t>Demontáž klozetu včetně splachovací nádrže</t>
  </si>
  <si>
    <t>Demontáž baterie nástěnné do G 3/4</t>
  </si>
  <si>
    <t>Odsekání vnitřních obkladů stěn nad 2 m2</t>
  </si>
  <si>
    <t>Naložení a složení vybouraných hmot/konstrukcí</t>
  </si>
  <si>
    <t>Stropy a stropní konstrukce a podhledy</t>
  </si>
  <si>
    <t>Příplatek k podhledu sádrokart. za plochu 5 - 10 m2</t>
  </si>
  <si>
    <t>Kuchyňská linka vč. pracovní desky, bez spotřebičů dle specifikace v PD</t>
  </si>
  <si>
    <t>Příplatek k obkladu stěn keram.,za plochu do 10 m2</t>
  </si>
  <si>
    <t>205.1 =  (2,5*10,44-2,56*2,26)-0,8*2,15-1,06*2,1</t>
  </si>
  <si>
    <t>205.3 = (17,6*2,88-2,55*2,88)-(0,9*2,15+1,09*2,57)+0,15*2*1,88+0,15*1,49-1,49*1,88</t>
  </si>
  <si>
    <t>725610810R00</t>
  </si>
  <si>
    <t>728311817R00</t>
  </si>
  <si>
    <t>Demontáž bojleru</t>
  </si>
  <si>
    <t>968062455R00</t>
  </si>
  <si>
    <t>728311811R00</t>
  </si>
  <si>
    <t>978013121R00</t>
  </si>
  <si>
    <t>Otlučení omítek vnitřních rákosov.stropů (do 10 % z plochy stropů)</t>
  </si>
  <si>
    <t>978012121R00</t>
  </si>
  <si>
    <t>962031113R00</t>
  </si>
  <si>
    <t>Bourání zděných příček z plných cihel tl. 65 cm vč. omítky</t>
  </si>
  <si>
    <t>Odstranění násypu nebo nánosu tl. 5 - 10 cm, z ploch jednotlivě do 10 m2</t>
  </si>
  <si>
    <t>712990813RT1</t>
  </si>
  <si>
    <t>775521800R00</t>
  </si>
  <si>
    <t>Demontáž podlah s polštáři z prken tl. do 32 mm</t>
  </si>
  <si>
    <t>762522811R00</t>
  </si>
  <si>
    <t xml:space="preserve">Průzkumné práce - průzkum stávající dřevěné podlahy - pásová sonda podél vnitřní nosné stěny v místech navrhované koupelny </t>
  </si>
  <si>
    <t>979011211R00</t>
  </si>
  <si>
    <t>979081111RT2</t>
  </si>
  <si>
    <t xml:space="preserve">Odvoz suti a vybour. hmot na skládku do 1 km kontejnerem </t>
  </si>
  <si>
    <t>979081121RT2</t>
  </si>
  <si>
    <t>Příplatek k odvozu za každý další 1 km (uvažováno 9km)</t>
  </si>
  <si>
    <t>979094211R00</t>
  </si>
  <si>
    <t>Nakládání nebo překládání vybourané suti</t>
  </si>
  <si>
    <t>979990107R00</t>
  </si>
  <si>
    <t>Poplatek za skládku suti - směs betonu,cihel</t>
  </si>
  <si>
    <t>Poplatek za skládku suti - dřevo</t>
  </si>
  <si>
    <t>979990161R00</t>
  </si>
  <si>
    <t>d</t>
  </si>
  <si>
    <t xml:space="preserve">Příčka do stávajícího objektu, bez omítky, tl.15 cm, cihly plné, vysekání kapes pro zavázání  </t>
  </si>
  <si>
    <t>340200010RAB</t>
  </si>
  <si>
    <t>340200010RAA</t>
  </si>
  <si>
    <t>346244313R00</t>
  </si>
  <si>
    <t>347015115R00</t>
  </si>
  <si>
    <t>342016123R00</t>
  </si>
  <si>
    <t>342091051R00</t>
  </si>
  <si>
    <t>Těsnění styku příčky se stáv. konstrukcí PU pěnou</t>
  </si>
  <si>
    <t>342668111R00</t>
  </si>
  <si>
    <t>342263310R00</t>
  </si>
  <si>
    <r>
      <t xml:space="preserve">Větrací mřížka do SDK příčky, plast </t>
    </r>
    <r>
      <rPr>
        <sz val="10"/>
        <color indexed="49"/>
        <rFont val="Arial"/>
        <family val="2"/>
      </rPr>
      <t>Ø</t>
    </r>
    <r>
      <rPr>
        <i/>
        <sz val="10"/>
        <color indexed="49"/>
        <rFont val="Arial"/>
        <family val="2"/>
      </rPr>
      <t>100mm</t>
    </r>
  </si>
  <si>
    <t xml:space="preserve">Montáž SDK podhledu jednoduše opláštěného na jednoúrovňový rošt s parotěsnou zábranou, vč dodávky nosných profilů  tmelení, broušení a zatmelení návazností na zděné stěny (akrylátovým tmelem) </t>
  </si>
  <si>
    <t>SK1,3-M</t>
  </si>
  <si>
    <t xml:space="preserve">Montáž SDK podhledu jednoduše opláštěného na jednoúrovňový rošt, vč dodávky nosných profilů  tmelení, broušení a zatmelení návazností na zděné stěny (akrylátovým tmelem) </t>
  </si>
  <si>
    <t>416021121R00</t>
  </si>
  <si>
    <t>SK2,3-M</t>
  </si>
  <si>
    <t>Parotěsná zábrana tl. min. 0,25mm, propustnost páry – difuzní tloušťka Sd 50m</t>
  </si>
  <si>
    <t>SK1,3</t>
  </si>
  <si>
    <t>713111221RK4</t>
  </si>
  <si>
    <t>713111261RK2</t>
  </si>
  <si>
    <t>Utěsnění prostupu parozábranou pevnou páskou vč. dodávky pásky  podél ventilátoru)</t>
  </si>
  <si>
    <t>713111271RS2</t>
  </si>
  <si>
    <t>Utěsnění styku s jinou konstr. oboustrannou páskou, vč. dodávky pásky (po obvodu místností)</t>
  </si>
  <si>
    <t>Izolace tepelné stropů rovných spodem, drátem, 1 vrstva - materiál ve specifikaci</t>
  </si>
  <si>
    <t>713111121RT1</t>
  </si>
  <si>
    <t>342091061R00</t>
  </si>
  <si>
    <t>Čelo podhledu SDK, výška čela od 200 do 500 mm, jednoduchá ocelová konstrukce z profilů CD a UD, 1x opláštěná, bez izolace, desky standard RB (A) tl. 12,5 mm, vč. tmelení, broušení a zatmelení návazností na zděné stěny (akrylátovým tmelem) - svislá plocha</t>
  </si>
  <si>
    <t>416093121R00</t>
  </si>
  <si>
    <t>416091083R00</t>
  </si>
  <si>
    <t xml:space="preserve">Větrací plastová mřížka do SDK podhledu, průměr 100 mm (větrání plynu)  včetně kotvícího materiálu </t>
  </si>
  <si>
    <t>Montáž mřížek</t>
  </si>
  <si>
    <t>SK1,2,3-M</t>
  </si>
  <si>
    <t>SK1,3-D+M</t>
  </si>
  <si>
    <t>SK2-D+M</t>
  </si>
  <si>
    <t>611421211R00</t>
  </si>
  <si>
    <t>Oprava váp.omítek stropů do 10% plochy - hrubých</t>
  </si>
  <si>
    <t>Oprava vápen.omítek stěn do 10 % pl. - hrubých</t>
  </si>
  <si>
    <t>612421211R00</t>
  </si>
  <si>
    <t xml:space="preserve">Omítka vnitřních stěn vápenocem. Jednovrstvá do tl. 15 mm,  pro vyrovnání podkladu pod obklady </t>
  </si>
  <si>
    <t>612475111RT3</t>
  </si>
  <si>
    <t>784496500R00</t>
  </si>
  <si>
    <t>Penetrace podkladu (před vystěrkováním)</t>
  </si>
  <si>
    <t>Penetrace podkladu (pod vyrovnávací omítku a pod stěrku)</t>
  </si>
  <si>
    <t>Začištění omítek kolem oken,dveří apod. s použitím suché maltové směsi</t>
  </si>
  <si>
    <t>612409991RT2</t>
  </si>
  <si>
    <t>Omítka vápenná vnitřního ostění - štuková s použitím suché maltové směsi</t>
  </si>
  <si>
    <t>612425931RT2</t>
  </si>
  <si>
    <t xml:space="preserve">Omítka stěn vnitřní tenkovrstvá vápenná - štuk. Položka obsahuje nátěr podkladu spojovacím můstkem a štukovou omítku tl. 5 mm. Ruční provedení. </t>
  </si>
  <si>
    <t>Příplatek za zabudované rohovníky, stěny</t>
  </si>
  <si>
    <t>612473186R00</t>
  </si>
  <si>
    <t>205.3 = 2,65+2,08+1,88*2+1,49</t>
  </si>
  <si>
    <t>205.4 = 2,65+1,1*2+0,61*2</t>
  </si>
  <si>
    <t>205.5 = 2,5</t>
  </si>
  <si>
    <t>205.2 = 1,87*2+1,47+0,72+0,5</t>
  </si>
  <si>
    <t>205.2 = 0,25*1,87*2+0,25*1,47+0,25*0,72*2+0,25*0,5</t>
  </si>
  <si>
    <t>205.3 = 0,25*1,88*2+0,25*1,49</t>
  </si>
  <si>
    <t>205.4 = 0</t>
  </si>
  <si>
    <t>205.5 = 0</t>
  </si>
  <si>
    <t>205.1 =  0,96+2,09*2+(0,8+2,15*2)*2</t>
  </si>
  <si>
    <t>205.2 = 0,9+2,15*2+0,7+2,05*2+0,5+0,72*2+1,14+1,87*2</t>
  </si>
  <si>
    <t>205.3 = (0,9+2,15*2)*2+1,49+1,88*2</t>
  </si>
  <si>
    <t>781479711R00</t>
  </si>
  <si>
    <t>https://www.siko.cz/lista-ukoncovaci-l-hlinik-10-mm-250-cm-al10250/p/AL10250?gclid=EAIaIQobChMIsYDCpJ7F6QIVie3tCh0zFQanEAAYAyAAEgKzu_D_BwE</t>
  </si>
  <si>
    <t>https://www.siko.cz/lista-ukoncovaci-l-kartacovana-nerez-10-mm-250-cm-nrzk10250/p/NRZK10250</t>
  </si>
  <si>
    <t>Dveře dřevěné vnitřní 1křídlové 700x2100mm podříznuté, dle specifikace v PD</t>
  </si>
  <si>
    <t>https://www.truhlarstvipohan.cz/dvere-silvie/</t>
  </si>
  <si>
    <t>766950010RAA</t>
  </si>
  <si>
    <t>W2</t>
  </si>
  <si>
    <t>Repase stávajících dřevěných špaletových oken, dle specifikace v PD</t>
  </si>
  <si>
    <t>766950010RAB</t>
  </si>
  <si>
    <t>Repase stávajících dřevěných špaletových oken, včetně výměny rozbitých skel a výplně spodní špalety okna dle specifikace v PD</t>
  </si>
  <si>
    <t>https://www.styltex.cz/produkt/pevna-sit-proti-hmyzu-64/#configurator</t>
  </si>
  <si>
    <t>762712110RT5</t>
  </si>
  <si>
    <t>Montáž vázaných konstrukcí hraněných do 120 cm2, vč. řeziva (trámek 100/80mm) a kotvícího materiálu</t>
  </si>
  <si>
    <t xml:space="preserve">Impregnace řeziva vůčí škůdcům, hnilobě a plísním </t>
  </si>
  <si>
    <t>762911111R00</t>
  </si>
  <si>
    <t>Vestavná el. trouba ref. výrobek MORA VT 433 BX, vč. montáže</t>
  </si>
  <si>
    <t>Plynová deska, tvrzené sklo, čtyřplotýnka ref. výrobek Concept PDV7460bc, vč. montáže</t>
  </si>
  <si>
    <t xml:space="preserve">Galerka s LED osvětlením, 60x60x14cm,dub platin ref. výrobek AQUALINE - ZOJA/KERAMIA FRESH </t>
  </si>
  <si>
    <t>https://www.svet-koupelny.cz/keramia-fresh/zoja-keramia-fresh-galerka-s-halogenovym-osvetlenim-60x60x14cm-dub-platin-lev-45027/aqualine/</t>
  </si>
  <si>
    <t>https://www.datart.cz/Vestavna-trouba-MORA-VT-433-BW.html?gclid=EAIaIQobChMIpMnpia_H6QIVGofVCh2towCrEAAYASAAEgKGBfD_BwE</t>
  </si>
  <si>
    <t>https://www.mall.cz/plynove-varne-desky/concept-pdv7460bc?gclid=EAIaIQobChMI0evMsq_H6QIVgYxRCh0KAAVIEAAYASAAEgLB8fD_BwE</t>
  </si>
  <si>
    <t>https://www.elektrocz.com/p272214-faber-maxima-touch-ev8-x-a60/</t>
  </si>
  <si>
    <t>výška dveří 2100</t>
  </si>
  <si>
    <t>děrovaná DTD</t>
  </si>
  <si>
    <t>podřezání dveří</t>
  </si>
  <si>
    <t>příplatky k zárubním</t>
  </si>
  <si>
    <t>DS</t>
  </si>
  <si>
    <t>Zárubeň ocelová 800/2100mm zazdívaná, ústí do 150mm (bez omítek), dle specifikace v PD, včetně těsnění a povrchové úpravy (pro dveře D2)</t>
  </si>
  <si>
    <t>Zárubeň ocelová 800/2100mm zazdívaná, ústí do 100mm, dle specifikace v PD, včetně těsnění a povrchové úpravy (pro dveře D3)</t>
  </si>
  <si>
    <t>Zárubeň ocelová 700/2100mm do hotového otvoru, ústí do 150mm (bez omítek) dle specifikace v PD, včetně těsnění a povrchové úpravy (pro dveře D1, D4)</t>
  </si>
  <si>
    <t>výška 2100 mm</t>
  </si>
  <si>
    <t>nátěr zárubní</t>
  </si>
  <si>
    <t>Nátěr stávací zárubně</t>
  </si>
  <si>
    <t>Montáž obložkové zárubně a dřevěného křídla dveří</t>
  </si>
  <si>
    <t>766670011R00</t>
  </si>
  <si>
    <t>D5-M</t>
  </si>
  <si>
    <t xml:space="preserve">Příplatky k vnitřní dveřím - celkem </t>
  </si>
  <si>
    <t>317941121R00</t>
  </si>
  <si>
    <t xml:space="preserve">Osazení ocelových nosníků </t>
  </si>
  <si>
    <t>https://online.ferona.cz/detail/42333/profil-nerovnoramenny-l-z-konstrukcni-oceli-valcovane-za-tepla-din-1029-l-100x75x7</t>
  </si>
  <si>
    <t>https://online.ferona.cz/detail/22304/profil-rovnoramenny-l-z-konstrukcni-oceli-valcovane-za-tepla-en-10056-l-50x50x4</t>
  </si>
  <si>
    <t>podk.textilie,vodorovná vč. dodávky materiálu</t>
  </si>
  <si>
    <t>711191171RT2</t>
  </si>
  <si>
    <t>631591211R00</t>
  </si>
  <si>
    <t>Penetrace hloubková na sádrovláknité desky 0,20 l/m2</t>
  </si>
  <si>
    <t>631343891R00</t>
  </si>
  <si>
    <t>635111031R00</t>
  </si>
  <si>
    <t>Podlaha sádrovláknité desky (2x10+10mm dřevovl.iz.), včetně okrajové pásky 50x10 mm. Cena obsahuje slepení spojů, přišroubování k podkladu 15 ks/m2 a přetmelení spár.</t>
  </si>
  <si>
    <t>771101210RT2</t>
  </si>
  <si>
    <t>KD(I) 1</t>
  </si>
  <si>
    <t>Penetrace podkladu pod dlažby</t>
  </si>
  <si>
    <t>Montáž kuchyňské linké linky, vč. úpravy pracovní desky a montáže spotřebičů</t>
  </si>
  <si>
    <t>Demontáž podlah vlysových přibíjených včetně lišt- opatrná demontáž vlysů a uskladnění pro možné použití v místech oprav</t>
  </si>
  <si>
    <t>775411810R00</t>
  </si>
  <si>
    <t>775592000R00</t>
  </si>
  <si>
    <t>Broušení dřevěných podlah hrubé+střední+jemné</t>
  </si>
  <si>
    <t>775101101R00</t>
  </si>
  <si>
    <t>775599130R00</t>
  </si>
  <si>
    <t xml:space="preserve">Tmelení spár parket pryskyřicí, odhad 40% plochy </t>
  </si>
  <si>
    <t>775599141R00</t>
  </si>
  <si>
    <t>Lak dřevěných podlah 2x dle specifikace v PD, 1x základ, přebroušení, 2x lak.</t>
  </si>
  <si>
    <t>771111122R00</t>
  </si>
  <si>
    <t>Lišta hliníková přechodová, Podrobně viz tabulka prvků PSV</t>
  </si>
  <si>
    <t>https://www.floorwood.cz/prechodova-lista-sroubovaci-obla-stribrna-e01/</t>
  </si>
  <si>
    <t>https://www.drevene-listy-eshop.cz/drevene-listy/eshop/4-1-DUBOVE-LISTY/0/5/2-LISTA-PARKETOVA-dub</t>
  </si>
  <si>
    <t>Demontáž ohřívače kruhového do d 600 mm</t>
  </si>
  <si>
    <t>Ventilační přivzdušňovací hlavice, DN50</t>
  </si>
  <si>
    <t>721273160RT1</t>
  </si>
  <si>
    <t>vsazení odbočky na DN 110 (HT,  DN110/110/75/67°) napojená na PVC potrubí</t>
  </si>
  <si>
    <t>721170955R00</t>
  </si>
  <si>
    <t>Rezerva na případné dobetonování popř. požární utěsnění prostupů stoupaček vody, kanalizace, bude účtováno dle skutečnosti, oceněna jen jedn. cena</t>
  </si>
  <si>
    <r>
      <t xml:space="preserve">PE hadice </t>
    </r>
    <r>
      <rPr>
        <sz val="10"/>
        <rFont val="Calibri"/>
        <family val="2"/>
      </rPr>
      <t>Ø</t>
    </r>
    <r>
      <rPr>
        <sz val="10"/>
        <rFont val="Arial CE"/>
        <family val="2"/>
      </rPr>
      <t xml:space="preserve"> 18 - odovd kondenzátu vč. objímek</t>
    </r>
  </si>
  <si>
    <t>Sifon pro kondenzát podomítkový, nerez DN40 a DN50 pro napojovací hadice od bojleru (ref. v. Alcaplast Sifon AKS7)</t>
  </si>
  <si>
    <t>https://www.koupelny-venta.cz/alcaplast-sifon-pro-odkapavajici-kondenzat-podomitkovy-nerez-dn40-a-dn50-aks7/53886/produkt</t>
  </si>
  <si>
    <t>https://ok-levne.cz/hl138-podomitkovy-sifon-ke-klimatizacnim-jednotkam-dn32-100x100mm.html</t>
  </si>
  <si>
    <t>725850145R00</t>
  </si>
  <si>
    <t>Vodní zápachová uzávěrka DN32 pro odvod kondenzátu s přídavnou mechanickou zápachovou uzávěrkou (kulička), podomítkové provedení. (ref. v. H138)</t>
  </si>
  <si>
    <t>Kulový kohout s vypouštěním, chromovaný 1/2" (přívod SV k boileru)</t>
  </si>
  <si>
    <t>Kulový kohout, chromovaný 1/2" (přívod TV k boileru)</t>
  </si>
  <si>
    <t>722236141R00</t>
  </si>
  <si>
    <t>722236133R00</t>
  </si>
  <si>
    <t>Umyvátko keramické 450/370/155 mm připevněné na stěnu šrouby vč. pilety clickclack- specifikace dle PD (ref. výrobek Lyra Plus)</t>
  </si>
  <si>
    <t>Umyvadlo keramické 600/490/195 mm připevněné na stěnu šrouby vč. pilety clickclack- specifikace dle PD (ref. výrobek Lyra Plus)</t>
  </si>
  <si>
    <t>Dřezový sifon plastový</t>
  </si>
  <si>
    <t>https://www.siko.cz/umyvadlo-jika-lyra-plus-60x49-cm-otvor-pro-baterii-uprostred-h8143830001041/p/1438.3.000.104.1</t>
  </si>
  <si>
    <t>https://www.siko.cz/umyvatko-jika-lyra-plus-45x37-cm-otvor-pro-baterii-uprostred-h8153820001041/p/1538.2.000.104.1</t>
  </si>
  <si>
    <t>Baterie pro umyvátko stoján. Ruční páková, bez otvír.odpadu standard vč.flexo hadiček</t>
  </si>
  <si>
    <t>978059531R00</t>
  </si>
  <si>
    <t>971033441R00</t>
  </si>
  <si>
    <t>https://www.siko.cz/sprchova-vanicka-ctvercova-ravak-chrome-90x90-cm-lity-mramor-xa047701010/p/PER90PROCHROM0</t>
  </si>
  <si>
    <t>Sprchové dveře dvoudílné, v lesklém chromu a výplní z čirého skla, rozměr 890-905x1950</t>
  </si>
  <si>
    <t>https://www.ravak.cz/cz/sprchove-dvere-brilliant-bsd2~1</t>
  </si>
  <si>
    <t>Montáž elektr.ohřívačů, zásovníkových do 125 l</t>
  </si>
  <si>
    <t>725539103R00</t>
  </si>
  <si>
    <t xml:space="preserve">Montáž uzávěrek zápach. </t>
  </si>
  <si>
    <t>Montáž potrubí plastového kruhového do d 100 mm</t>
  </si>
  <si>
    <t>728114111R00</t>
  </si>
  <si>
    <t>https://www.multivac.cz/media/cache/file/a4/Cenik-2020-CZ-22_05.pdf</t>
  </si>
  <si>
    <t>https://www.multivac.cz/media/cache/file/a5/05_multi-plast.pdf</t>
  </si>
  <si>
    <t>Odpadní potrubí vzduchu DN125 PVC, umístěné ve SDk kastlíku vč. kotvení</t>
  </si>
  <si>
    <t>Montáž potrubí plastového kruhového do d 200 mm</t>
  </si>
  <si>
    <t>728114112R00</t>
  </si>
  <si>
    <r>
      <t xml:space="preserve">Koleno z pvc 90° - </t>
    </r>
    <r>
      <rPr>
        <sz val="10"/>
        <color indexed="49"/>
        <rFont val="Calibri"/>
        <family val="2"/>
      </rPr>
      <t>Ø</t>
    </r>
    <r>
      <rPr>
        <i/>
        <sz val="10"/>
        <color indexed="49"/>
        <rFont val="Arial"/>
        <family val="2"/>
      </rPr>
      <t xml:space="preserve"> 125 mm</t>
    </r>
  </si>
  <si>
    <t>Redukce z 125/120mm</t>
  </si>
  <si>
    <t>T kus vč. víčka - úprava na sběr kondenzátu  Ø 120 mm</t>
  </si>
  <si>
    <t>Vložkování komínového průduchu potrubím Ø 120 mm</t>
  </si>
  <si>
    <t>Montáž mřížky větrací nebo ventilační do d 100 mm</t>
  </si>
  <si>
    <t>728415121R00</t>
  </si>
  <si>
    <t>Mtž ventilátoru radiál.  na potrub. do 0,07 m2</t>
  </si>
  <si>
    <t>728611113R00</t>
  </si>
  <si>
    <t>Montáž střišky nebo hlavice plech.kruh.do d 200 mm</t>
  </si>
  <si>
    <t>N</t>
  </si>
  <si>
    <t>728212712R00</t>
  </si>
  <si>
    <t>Montáž otopných těles koupelnových (žebříků)</t>
  </si>
  <si>
    <t>735179110R00</t>
  </si>
  <si>
    <t>Potrubí z měděných plyn.trubek D 18 x 1,0 mm (DN 15), dle ČSN EN 1057</t>
  </si>
  <si>
    <t>723163103R00</t>
  </si>
  <si>
    <t>Potrubí z měděných plyn.trubek D 22 x 1,0 mm (DN 20), dle ČSN EN 1057</t>
  </si>
  <si>
    <t>723163104R00</t>
  </si>
  <si>
    <t>Dodávka nového jednotného kování</t>
  </si>
  <si>
    <t>Odstranění nátěrů truhlářských, dveří opálením</t>
  </si>
  <si>
    <t>783602823R00</t>
  </si>
  <si>
    <t>Nátěr synt. truhl. výrobků 2x + 2x email.+2x tmel</t>
  </si>
  <si>
    <t>783625300R00</t>
  </si>
  <si>
    <t xml:space="preserve">dodávka kování </t>
  </si>
  <si>
    <t>723164103RT1</t>
  </si>
  <si>
    <t>Montáž potrubí z měděných trubek D 18 mm, pájením</t>
  </si>
  <si>
    <t>Montáž potrubí z měděných trubek D 22 mm, pájením</t>
  </si>
  <si>
    <t>723164104RT1</t>
  </si>
  <si>
    <t>Chránička ocel DN32, vč. požárního utěsnění</t>
  </si>
  <si>
    <t>Chránička ocel DN25</t>
  </si>
  <si>
    <t>723235111R00</t>
  </si>
  <si>
    <t>Stavební přípomoce (potrubí v přizdívce-drážky vymazány maltou, prostupy-osazení chráničky)</t>
  </si>
  <si>
    <t>Montáž stanoveno procentní sazbou z dodávky</t>
  </si>
  <si>
    <t xml:space="preserve">svítidlo  pod linku bez vypínače LED 10W </t>
  </si>
  <si>
    <t>spínač č.6+6</t>
  </si>
  <si>
    <t>spínač č.6 - střídavý</t>
  </si>
  <si>
    <t>relé DT4</t>
  </si>
  <si>
    <t>el.žebřík s termostatem, 450W - koupelna</t>
  </si>
  <si>
    <t>el.žebřík s termostatem, 300W - WC</t>
  </si>
  <si>
    <t>rámeček 3x, trojrámeček</t>
  </si>
  <si>
    <t>CYKYLo 3Cx2,5 vč.prořezu</t>
  </si>
  <si>
    <t>CYKYLo 2Ax1,5 vč.prořezu</t>
  </si>
  <si>
    <t>CYKYLo 3Ax1,5 vč.prořezu</t>
  </si>
  <si>
    <t>CYKYLo 3Cx1,5 vč.prořezu</t>
  </si>
  <si>
    <t>CYKYLo 5Cx1,5 vč.prořezu</t>
  </si>
  <si>
    <t>ukončení kabelu 4x10</t>
  </si>
  <si>
    <t xml:space="preserve">frézování drážky na stěnách </t>
  </si>
  <si>
    <t>frézování drážky na  stropech</t>
  </si>
  <si>
    <t>jistič 25/3-B</t>
  </si>
  <si>
    <t>navýšení poplatku za hl.jistič</t>
  </si>
  <si>
    <t>Rozvaděč RB</t>
  </si>
  <si>
    <t>rozvaděč provedení na povrch, IP30, 24 modulů</t>
  </si>
  <si>
    <t>svodič přepětí SPB -12/280/3 B+C</t>
  </si>
  <si>
    <t>proudový chránič 25/4/0,03</t>
  </si>
  <si>
    <t>Jistič 10/1-B</t>
  </si>
  <si>
    <t>Jistič 16/1-B</t>
  </si>
  <si>
    <t>pom.materiál (svorky, vodiče)</t>
  </si>
  <si>
    <t xml:space="preserve">Rozvaděč RB celkem </t>
  </si>
  <si>
    <t>telefonní zásuvka (zásuvka,maska,kryt) - Cat5e</t>
  </si>
  <si>
    <t>komunikační zásuvka PC (zásuvka,maska,kryt)</t>
  </si>
  <si>
    <t>krabice KO s víčkem</t>
  </si>
  <si>
    <t>kabel UTP Cat 5e vč.prořezu</t>
  </si>
  <si>
    <t>koaxiální kabel CB 130F vč.prořezu</t>
  </si>
  <si>
    <t>trubka PVC 2321</t>
  </si>
  <si>
    <t>krabice 125x125 - na povrch</t>
  </si>
  <si>
    <t>domácí telefon</t>
  </si>
  <si>
    <t>SYKFY 5x2x0,5</t>
  </si>
  <si>
    <t>podíl přidružených výkonů</t>
  </si>
  <si>
    <r>
      <t xml:space="preserve">Návleková izolace MW 25mm pro potrubí </t>
    </r>
    <r>
      <rPr>
        <sz val="10"/>
        <rFont val="Calibri"/>
        <family val="2"/>
      </rPr>
      <t>Ø100 mm</t>
    </r>
  </si>
  <si>
    <t>Montáž uzávěrek zápach. umyvadlových D32</t>
  </si>
  <si>
    <t>A – svítidlo v rámci osvětlení zrcadla (vykázáno ve stavební části)</t>
  </si>
  <si>
    <t>"sporáková přípojka" do krabice KU vč. krytu, (přístroj spínače trojpólového, ř. 3 bez úpravy pro použití doutnavky), v případě, že boiler nebude zapojen přímo do zásuvky)</t>
  </si>
  <si>
    <t>přirážka za podružný materiál</t>
  </si>
  <si>
    <t>Přirážka je určena ke krytí nákladů na přidružené výkony, které jsou nezbytné k provedení montážních prací. Jsou to: 
a) osvětlení pracoviště, skladových prostorů a přístupů k nim v souladu s předpisy o bezpečnosti práce, včetně elektrické energie. Osvětlení ostatních veřejných přístupových ploch užívaných účastníky výstavby, není touto přirážkou kryto. 
b) zapůjčení (opotřebení) materiálu pro pomocná lešení do výšky 1900 mm, přičemž materiál na lešení musí být uložen nejvýše 100 m od místa postavení lešení. Přirážkou jsou kryty i náklady na uložení materiálu po dokončení prací na místo, odkud byl odebrán, nebo na jiné určené místo, nejvýše však v okruhu 100 m od místa postavení lešení a záruka za poškození materiálu na lešení nad mez normálního opotřebení. 
c) strážní a požární služba pracoviště s výjimkou služby vyvolané provozem investora.   
d) náklady na mimostaveništní dopravu specifikací</t>
  </si>
  <si>
    <t>poznámky</t>
  </si>
  <si>
    <t>Odstranění nesoudržných štukových omítek (odhad 10% z plochy stěn)</t>
  </si>
  <si>
    <t>970031160R00</t>
  </si>
  <si>
    <t>Vrtání jádrové do zdiva cihelného do D 160 mm (2x odkouření plynového topidla, VZT prům. 120mm)</t>
  </si>
  <si>
    <t>Vybourání otv. zeď cihel. do pl.0,25 m2, tl.30cm, MVC (napojení na komínový průduch)</t>
  </si>
  <si>
    <t>Příčka do stávajícího objektu, bez omítky, z plných cihel (290/140/65mm) tl.65 mm, vč. spražení s zděnou stěnou (navrtané trny nebo pásovina do každé třetí spáry po cca 1,0 m</t>
  </si>
  <si>
    <t>DS2-D+M</t>
  </si>
  <si>
    <t>DS1-D+M</t>
  </si>
  <si>
    <t>D1až D4-M</t>
  </si>
</sst>
</file>

<file path=xl/styles.xml><?xml version="1.0" encoding="utf-8"?>
<styleSheet xmlns="http://schemas.openxmlformats.org/spreadsheetml/2006/main">
  <numFmts count="2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_-;\-* #,##0_-;_-* &quot;-&quot;_-;_-@_-"/>
    <numFmt numFmtId="165" formatCode="_-* #,##0.00_-;\-* #,##0.00_-;_-* &quot;-&quot;??_-;_-@_-"/>
    <numFmt numFmtId="166" formatCode="0.0%"/>
    <numFmt numFmtId="167" formatCode="0.0"/>
    <numFmt numFmtId="168" formatCode="#,##0.0"/>
    <numFmt numFmtId="169" formatCode="0.0000"/>
    <numFmt numFmtId="170" formatCode="0.000"/>
    <numFmt numFmtId="171" formatCode="0.00000"/>
    <numFmt numFmtId="172" formatCode="&quot;Yes&quot;;&quot;Yes&quot;;&quot;No&quot;"/>
    <numFmt numFmtId="173" formatCode="&quot;True&quot;;&quot;True&quot;;&quot;False&quot;"/>
    <numFmt numFmtId="174" formatCode="&quot;On&quot;;&quot;On&quot;;&quot;Off&quot;"/>
    <numFmt numFmtId="175" formatCode="[$€-2]\ #\ ##,000_);[Red]\([$€-2]\ #\ ##,000\)"/>
    <numFmt numFmtId="176" formatCode="#,##0\ &quot;Kč&quot;"/>
    <numFmt numFmtId="177" formatCode="#,##0.0\ &quot;Kč&quot;"/>
    <numFmt numFmtId="178" formatCode="[$¥€-2]\ #\ ##,000_);[Red]\([$€-2]\ #\ ##,000\)"/>
    <numFmt numFmtId="179" formatCode="#,##0\ _K_č"/>
    <numFmt numFmtId="180" formatCode="#,##0.00\ &quot;Kč&quot;"/>
    <numFmt numFmtId="181" formatCode="[$€-2]\ #,##0.00_);[Red]\([$€-2]\ #,##0.00\)"/>
    <numFmt numFmtId="182" formatCode="_(#,##0_);[Red]\-\ #,##0_);&quot;–&quot;??;_(@_)"/>
    <numFmt numFmtId="183" formatCode="_-* #,##0\ &quot;Kč&quot;_-;\-* #,##0\ &quot;Kč&quot;_-;_-* &quot;-&quot;??\ &quot;Kč&quot;_-;_-@_-"/>
    <numFmt numFmtId="184" formatCode="#,##0.000\ &quot;Kč&quot;"/>
  </numFmts>
  <fonts count="69">
    <font>
      <sz val="10"/>
      <name val="Arial CE"/>
      <family val="2"/>
    </font>
    <font>
      <sz val="10"/>
      <name val="Arial"/>
      <family val="0"/>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8"/>
      <name val="Arial CE"/>
      <family val="2"/>
    </font>
    <font>
      <b/>
      <sz val="10"/>
      <name val="Arial CE"/>
      <family val="2"/>
    </font>
    <font>
      <i/>
      <sz val="10"/>
      <name val="Arial CE"/>
      <family val="2"/>
    </font>
    <font>
      <sz val="14"/>
      <name val="Arial CE"/>
      <family val="2"/>
    </font>
    <font>
      <sz val="18"/>
      <name val="Arial CE"/>
      <family val="2"/>
    </font>
    <font>
      <b/>
      <sz val="16"/>
      <name val="Arial CE"/>
      <family val="2"/>
    </font>
    <font>
      <u val="single"/>
      <sz val="13"/>
      <color indexed="12"/>
      <name val="Arial CE"/>
      <family val="2"/>
    </font>
    <font>
      <b/>
      <sz val="11"/>
      <name val="Arial CE"/>
      <family val="2"/>
    </font>
    <font>
      <b/>
      <sz val="12"/>
      <name val="Arial CE"/>
      <family val="2"/>
    </font>
    <font>
      <b/>
      <sz val="14"/>
      <name val="Arial CE"/>
      <family val="2"/>
    </font>
    <font>
      <sz val="7"/>
      <name val="Arial CE"/>
      <family val="2"/>
    </font>
    <font>
      <sz val="11"/>
      <name val="Arial CE"/>
      <family val="2"/>
    </font>
    <font>
      <b/>
      <sz val="10"/>
      <name val="Arial"/>
      <family val="2"/>
    </font>
    <font>
      <u val="single"/>
      <sz val="10"/>
      <color indexed="20"/>
      <name val="Arial CE"/>
      <family val="2"/>
    </font>
    <font>
      <i/>
      <sz val="10"/>
      <name val="Arial"/>
      <family val="2"/>
    </font>
    <font>
      <b/>
      <sz val="12"/>
      <name val="Arial"/>
      <family val="2"/>
    </font>
    <font>
      <sz val="8"/>
      <name val="Arial"/>
      <family val="2"/>
    </font>
    <font>
      <i/>
      <sz val="10"/>
      <color indexed="49"/>
      <name val="Arial"/>
      <family val="2"/>
    </font>
    <font>
      <b/>
      <sz val="11"/>
      <color indexed="8"/>
      <name val="Arial"/>
      <family val="2"/>
    </font>
    <font>
      <b/>
      <sz val="10"/>
      <color indexed="8"/>
      <name val="Arial"/>
      <family val="2"/>
    </font>
    <font>
      <sz val="10"/>
      <color indexed="40"/>
      <name val="Arial"/>
      <family val="2"/>
    </font>
    <font>
      <sz val="10"/>
      <color indexed="8"/>
      <name val="Arial CE"/>
      <family val="2"/>
    </font>
    <font>
      <b/>
      <sz val="10"/>
      <color indexed="8"/>
      <name val="Arial CE"/>
      <family val="2"/>
    </font>
    <font>
      <sz val="7"/>
      <color indexed="8"/>
      <name val="Arial CE"/>
      <family val="2"/>
    </font>
    <font>
      <sz val="11"/>
      <color indexed="8"/>
      <name val="Arial CE"/>
      <family val="2"/>
    </font>
    <font>
      <sz val="10"/>
      <color indexed="10"/>
      <name val="Arial CE"/>
      <family val="2"/>
    </font>
    <font>
      <b/>
      <sz val="10"/>
      <color indexed="10"/>
      <name val="Arial CE"/>
      <family val="2"/>
    </font>
    <font>
      <sz val="7"/>
      <color indexed="10"/>
      <name val="Arial CE"/>
      <family val="2"/>
    </font>
    <font>
      <sz val="11"/>
      <color indexed="10"/>
      <name val="Arial CE"/>
      <family val="2"/>
    </font>
    <font>
      <i/>
      <sz val="10"/>
      <color indexed="30"/>
      <name val="Arial"/>
      <family val="2"/>
    </font>
    <font>
      <sz val="10"/>
      <color indexed="49"/>
      <name val="Arial"/>
      <family val="2"/>
    </font>
    <font>
      <sz val="10"/>
      <color indexed="10"/>
      <name val="Arial"/>
      <family val="2"/>
    </font>
    <font>
      <sz val="10"/>
      <name val="Calibri"/>
      <family val="2"/>
    </font>
    <font>
      <i/>
      <vertAlign val="superscript"/>
      <sz val="10"/>
      <color indexed="49"/>
      <name val="Arial"/>
      <family val="2"/>
    </font>
    <font>
      <b/>
      <sz val="11"/>
      <name val="Calibri"/>
      <family val="2"/>
    </font>
    <font>
      <sz val="11"/>
      <name val="Calibri"/>
      <family val="2"/>
    </font>
    <font>
      <i/>
      <sz val="10"/>
      <color indexed="40"/>
      <name val="Arial"/>
      <family val="2"/>
    </font>
    <font>
      <sz val="10"/>
      <color indexed="49"/>
      <name val="Calibri"/>
      <family val="2"/>
    </font>
    <font>
      <b/>
      <sz val="8"/>
      <name val="Arial"/>
      <family val="2"/>
    </font>
    <font>
      <sz val="8"/>
      <color indexed="10"/>
      <name val="Arial CE"/>
      <family val="2"/>
    </font>
    <font>
      <sz val="10"/>
      <color indexed="49"/>
      <name val="Arial CE"/>
      <family val="2"/>
    </font>
    <font>
      <b/>
      <sz val="10"/>
      <color indexed="10"/>
      <name val="Arial"/>
      <family val="2"/>
    </font>
    <font>
      <sz val="10"/>
      <color rgb="FFFF0000"/>
      <name val="Arial"/>
      <family val="2"/>
    </font>
    <font>
      <sz val="10"/>
      <color rgb="FFFF0000"/>
      <name val="Arial CE"/>
      <family val="2"/>
    </font>
    <font>
      <sz val="8"/>
      <color rgb="FFFF0000"/>
      <name val="Arial CE"/>
      <family val="2"/>
    </font>
    <font>
      <b/>
      <sz val="10"/>
      <color rgb="FFFF0000"/>
      <name val="Arial CE"/>
      <family val="2"/>
    </font>
    <font>
      <sz val="7"/>
      <color rgb="FFFF0000"/>
      <name val="Arial CE"/>
      <family val="2"/>
    </font>
    <font>
      <sz val="11"/>
      <color rgb="FFFF0000"/>
      <name val="Arial CE"/>
      <family val="2"/>
    </font>
    <font>
      <sz val="10"/>
      <color rgb="FF33CCCC"/>
      <name val="Arial CE"/>
      <family val="2"/>
    </font>
    <font>
      <b/>
      <sz val="10"/>
      <color rgb="FFFF0000"/>
      <name val="Arial"/>
      <family val="2"/>
    </font>
  </fonts>
  <fills count="25">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26"/>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9"/>
        <bgColor indexed="64"/>
      </patternFill>
    </fill>
    <fill>
      <patternFill patternType="solid">
        <fgColor indexed="9"/>
        <bgColor indexed="64"/>
      </patternFill>
    </fill>
    <fill>
      <patternFill patternType="solid">
        <fgColor indexed="22"/>
        <bgColor indexed="64"/>
      </patternFill>
    </fill>
    <fill>
      <patternFill patternType="solid">
        <fgColor indexed="44"/>
        <bgColor indexed="64"/>
      </patternFill>
    </fill>
    <fill>
      <patternFill patternType="solid">
        <fgColor indexed="26"/>
        <bgColor indexed="64"/>
      </patternFill>
    </fill>
    <fill>
      <patternFill patternType="solid">
        <fgColor theme="0"/>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s>
  <borders count="35">
    <border>
      <left/>
      <right/>
      <top/>
      <bottom/>
      <diagonal/>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medium">
        <color indexed="49"/>
      </bottom>
    </border>
    <border>
      <left style="thin">
        <color indexed="55"/>
      </left>
      <right style="thin">
        <color indexed="55"/>
      </right>
      <top style="thin">
        <color indexed="55"/>
      </top>
      <bottom style="thin">
        <color indexed="55"/>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right style="thin"/>
      <top style="thin"/>
      <bottom style="thin"/>
    </border>
    <border>
      <left style="hair">
        <color indexed="8"/>
      </left>
      <right style="hair">
        <color indexed="8"/>
      </right>
      <top>
        <color indexed="63"/>
      </top>
      <bottom>
        <color indexed="63"/>
      </bottom>
    </border>
    <border>
      <left style="hair">
        <color indexed="8"/>
      </left>
      <right style="hair">
        <color indexed="8"/>
      </right>
      <top style="hair">
        <color indexed="8"/>
      </top>
      <bottom style="hair">
        <color indexed="8"/>
      </bottom>
    </border>
    <border>
      <left style="thin"/>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top style="thin">
        <color indexed="8"/>
      </top>
      <bottom style="thin">
        <color indexed="8"/>
      </bottom>
    </border>
    <border>
      <left style="thin"/>
      <right>
        <color indexed="63"/>
      </right>
      <top style="thin">
        <color indexed="8"/>
      </top>
      <bottom style="thin"/>
    </border>
    <border>
      <left>
        <color indexed="63"/>
      </left>
      <right>
        <color indexed="63"/>
      </right>
      <top style="thin">
        <color indexed="8"/>
      </top>
      <bottom style="thin"/>
    </border>
    <border>
      <left>
        <color indexed="63"/>
      </left>
      <right style="thin"/>
      <top style="thin">
        <color indexed="8"/>
      </top>
      <bottom style="thin"/>
    </border>
    <border>
      <left>
        <color indexed="63"/>
      </left>
      <right>
        <color indexed="63"/>
      </right>
      <top>
        <color indexed="63"/>
      </top>
      <bottom style="hair"/>
    </border>
    <border>
      <left style="thin"/>
      <right style="thin"/>
      <top style="thin"/>
      <bottom>
        <color indexed="63"/>
      </bottom>
    </border>
    <border>
      <left style="medium"/>
      <right style="thin"/>
      <top style="medium"/>
      <bottom style="medium"/>
    </border>
    <border>
      <left style="thin"/>
      <right style="thin"/>
      <top style="medium"/>
      <bottom style="medium"/>
    </border>
    <border>
      <left>
        <color indexed="63"/>
      </left>
      <right style="medium"/>
      <top style="medium"/>
      <bottom style="medium"/>
    </border>
    <border>
      <left style="thin"/>
      <right style="thin"/>
      <top>
        <color indexed="63"/>
      </top>
      <bottom style="thin"/>
    </border>
    <border>
      <left>
        <color indexed="63"/>
      </left>
      <right>
        <color indexed="63"/>
      </right>
      <top>
        <color indexed="63"/>
      </top>
      <bottom style="medium"/>
    </border>
    <border>
      <left>
        <color indexed="63"/>
      </left>
      <right>
        <color indexed="63"/>
      </right>
      <top style="hair"/>
      <bottom style="hair"/>
    </border>
    <border>
      <left style="medium"/>
      <right>
        <color indexed="63"/>
      </right>
      <top style="medium"/>
      <bottom style="medium"/>
    </border>
    <border>
      <left>
        <color indexed="63"/>
      </left>
      <right>
        <color indexed="63"/>
      </right>
      <top style="medium"/>
      <bottom style="medium"/>
    </border>
    <border>
      <left>
        <color indexed="63"/>
      </left>
      <right>
        <color indexed="63"/>
      </right>
      <top>
        <color indexed="63"/>
      </top>
      <bottom style="hair">
        <color indexed="8"/>
      </bottom>
    </border>
    <border>
      <left>
        <color indexed="63"/>
      </left>
      <right>
        <color indexed="63"/>
      </right>
      <top style="hair"/>
      <bottom>
        <color indexed="63"/>
      </bottom>
    </border>
    <border>
      <left>
        <color indexed="63"/>
      </left>
      <right>
        <color indexed="63"/>
      </right>
      <top style="medium"/>
      <bottom style="hair"/>
    </border>
    <border>
      <left>
        <color indexed="63"/>
      </left>
      <right>
        <color indexed="63"/>
      </right>
      <top>
        <color indexed="63"/>
      </top>
      <bottom style="thin"/>
    </border>
    <border>
      <left style="thin"/>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s>
  <cellStyleXfs count="9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7"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7" borderId="0" applyNumberFormat="0" applyBorder="0" applyAlignment="0" applyProtection="0"/>
    <xf numFmtId="0" fontId="2" fillId="3" borderId="0" applyNumberFormat="0" applyBorder="0" applyAlignment="0" applyProtection="0"/>
    <xf numFmtId="0" fontId="3" fillId="8"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8"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4" fillId="0" borderId="1" applyNumberFormat="0" applyFill="0" applyAlignment="0" applyProtection="0"/>
    <xf numFmtId="43" fontId="1" fillId="0" borderId="0" applyFill="0" applyBorder="0" applyAlignment="0" applyProtection="0"/>
    <xf numFmtId="41" fontId="1" fillId="0" borderId="0" applyFill="0" applyBorder="0" applyAlignment="0" applyProtection="0"/>
    <xf numFmtId="0" fontId="25" fillId="0" borderId="0" applyNumberFormat="0" applyFill="0" applyBorder="0" applyAlignment="0" applyProtection="0"/>
    <xf numFmtId="0" fontId="5" fillId="10" borderId="0" applyNumberFormat="0" applyBorder="0" applyAlignment="0" applyProtection="0"/>
    <xf numFmtId="0" fontId="6" fillId="9" borderId="2" applyNumberFormat="0" applyAlignment="0" applyProtection="0"/>
    <xf numFmtId="44" fontId="1" fillId="0" borderId="0" applyFill="0" applyBorder="0" applyAlignment="0" applyProtection="0"/>
    <xf numFmtId="42" fontId="1" fillId="0" borderId="0" applyFill="0" applyBorder="0" applyAlignment="0" applyProtection="0"/>
    <xf numFmtId="0" fontId="7" fillId="0" borderId="3"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6" borderId="0" applyNumberFormat="0" applyBorder="0" applyAlignment="0" applyProtection="0"/>
    <xf numFmtId="0" fontId="1" fillId="0" borderId="0">
      <alignment/>
      <protection/>
    </xf>
    <xf numFmtId="0" fontId="0" fillId="0" borderId="0">
      <alignment/>
      <protection/>
    </xf>
    <xf numFmtId="0" fontId="32" fillId="0" borderId="0" applyNumberFormat="0" applyFill="0" applyBorder="0" applyAlignment="0" applyProtection="0"/>
    <xf numFmtId="0" fontId="0" fillId="4" borderId="5" applyNumberFormat="0" applyAlignment="0" applyProtection="0"/>
    <xf numFmtId="9" fontId="0" fillId="0" borderId="0" applyFill="0" applyBorder="0" applyAlignment="0" applyProtection="0"/>
    <xf numFmtId="9" fontId="1" fillId="0" borderId="0" applyFont="0" applyFill="0" applyBorder="0" applyAlignment="0" applyProtection="0"/>
    <xf numFmtId="0" fontId="12" fillId="0" borderId="6" applyNumberFormat="0" applyFill="0" applyAlignment="0" applyProtection="0"/>
    <xf numFmtId="0" fontId="13" fillId="11" borderId="0" applyNumberFormat="0" applyBorder="0" applyAlignment="0" applyProtection="0"/>
    <xf numFmtId="0" fontId="5" fillId="1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0" borderId="0" applyNumberFormat="0" applyFill="0" applyBorder="0" applyAlignment="0" applyProtection="0"/>
    <xf numFmtId="0" fontId="10" fillId="0" borderId="0" applyNumberFormat="0" applyFill="0" applyBorder="0" applyAlignment="0" applyProtection="0"/>
    <xf numFmtId="0" fontId="4" fillId="0" borderId="1" applyNumberFormat="0" applyFill="0" applyAlignment="0" applyProtection="0"/>
    <xf numFmtId="0" fontId="15" fillId="3" borderId="7" applyNumberFormat="0" applyAlignment="0" applyProtection="0"/>
    <xf numFmtId="0" fontId="16" fillId="2" borderId="7" applyNumberFormat="0" applyAlignment="0" applyProtection="0"/>
    <xf numFmtId="0" fontId="17" fillId="2" borderId="8" applyNumberFormat="0" applyAlignment="0" applyProtection="0"/>
    <xf numFmtId="0" fontId="18" fillId="0" borderId="0" applyNumberFormat="0" applyFill="0" applyBorder="0" applyAlignment="0" applyProtection="0"/>
    <xf numFmtId="0" fontId="14" fillId="0" borderId="0" applyNumberFormat="0" applyFill="0" applyBorder="0" applyAlignment="0" applyProtection="0"/>
    <xf numFmtId="0" fontId="3" fillId="8"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8" borderId="0" applyNumberFormat="0" applyBorder="0" applyAlignment="0" applyProtection="0"/>
    <xf numFmtId="0" fontId="3" fillId="15" borderId="0" applyNumberFormat="0" applyBorder="0" applyAlignment="0" applyProtection="0"/>
  </cellStyleXfs>
  <cellXfs count="326">
    <xf numFmtId="0" fontId="0" fillId="0" borderId="0" xfId="0" applyAlignment="1">
      <alignment/>
    </xf>
    <xf numFmtId="0" fontId="0" fillId="0" borderId="0" xfId="0" applyFont="1" applyAlignment="1">
      <alignment/>
    </xf>
    <xf numFmtId="0" fontId="20" fillId="0" borderId="0" xfId="0" applyFont="1" applyAlignment="1">
      <alignment/>
    </xf>
    <xf numFmtId="0" fontId="0" fillId="0" borderId="0" xfId="0" applyFont="1" applyFill="1" applyAlignment="1">
      <alignment/>
    </xf>
    <xf numFmtId="0" fontId="29" fillId="0" borderId="0" xfId="0" applyFont="1" applyAlignment="1">
      <alignment/>
    </xf>
    <xf numFmtId="0" fontId="30" fillId="0" borderId="0" xfId="0" applyFont="1" applyAlignment="1">
      <alignment/>
    </xf>
    <xf numFmtId="167" fontId="1" fillId="0" borderId="0" xfId="0" applyNumberFormat="1" applyFont="1" applyFill="1" applyBorder="1" applyAlignment="1">
      <alignment horizontal="right" vertical="center"/>
    </xf>
    <xf numFmtId="0" fontId="0" fillId="0" borderId="0" xfId="0" applyFill="1" applyAlignment="1">
      <alignment/>
    </xf>
    <xf numFmtId="0" fontId="30" fillId="0" borderId="0" xfId="0" applyFont="1" applyFill="1" applyAlignment="1">
      <alignment/>
    </xf>
    <xf numFmtId="170" fontId="0" fillId="0" borderId="0" xfId="0" applyNumberFormat="1" applyFont="1" applyAlignment="1">
      <alignment/>
    </xf>
    <xf numFmtId="170" fontId="20" fillId="0" borderId="0" xfId="0" applyNumberFormat="1" applyFont="1" applyAlignment="1">
      <alignment/>
    </xf>
    <xf numFmtId="0" fontId="20" fillId="0" borderId="0" xfId="0" applyFont="1" applyAlignment="1">
      <alignment/>
    </xf>
    <xf numFmtId="0" fontId="29" fillId="0" borderId="0" xfId="0" applyFont="1" applyFill="1" applyAlignment="1">
      <alignment/>
    </xf>
    <xf numFmtId="170" fontId="0" fillId="0" borderId="0" xfId="0" applyNumberFormat="1" applyFont="1" applyFill="1" applyAlignment="1">
      <alignment/>
    </xf>
    <xf numFmtId="0" fontId="35" fillId="0" borderId="0" xfId="0" applyFont="1" applyAlignment="1">
      <alignment/>
    </xf>
    <xf numFmtId="9" fontId="0" fillId="0" borderId="9" xfId="69" applyFill="1" applyBorder="1" applyAlignment="1" applyProtection="1">
      <alignment/>
      <protection/>
    </xf>
    <xf numFmtId="0" fontId="44" fillId="0" borderId="0" xfId="0" applyFont="1" applyFill="1" applyAlignment="1">
      <alignment/>
    </xf>
    <xf numFmtId="0" fontId="19" fillId="0" borderId="10" xfId="0" applyFont="1" applyBorder="1" applyAlignment="1">
      <alignment horizontal="right"/>
    </xf>
    <xf numFmtId="0" fontId="0" fillId="0" borderId="0" xfId="0" applyFont="1" applyAlignment="1">
      <alignment/>
    </xf>
    <xf numFmtId="183" fontId="1" fillId="0" borderId="0" xfId="57" applyNumberFormat="1" applyAlignment="1">
      <alignment/>
    </xf>
    <xf numFmtId="183" fontId="0" fillId="0" borderId="0" xfId="0" applyNumberFormat="1" applyFont="1" applyAlignment="1">
      <alignment/>
    </xf>
    <xf numFmtId="183" fontId="0" fillId="0" borderId="0" xfId="0" applyNumberFormat="1" applyFont="1" applyAlignment="1">
      <alignment/>
    </xf>
    <xf numFmtId="0" fontId="0" fillId="0" borderId="0" xfId="0" applyFont="1" applyBorder="1" applyAlignment="1" applyProtection="1">
      <alignment/>
      <protection/>
    </xf>
    <xf numFmtId="0" fontId="0" fillId="0" borderId="0" xfId="0" applyFont="1" applyFill="1" applyBorder="1" applyAlignment="1" applyProtection="1">
      <alignment horizontal="center"/>
      <protection/>
    </xf>
    <xf numFmtId="0" fontId="0" fillId="16" borderId="0" xfId="0" applyFont="1" applyFill="1" applyAlignment="1" applyProtection="1">
      <alignment vertical="center"/>
      <protection/>
    </xf>
    <xf numFmtId="0" fontId="0" fillId="0" borderId="0" xfId="0" applyFont="1" applyAlignment="1" applyProtection="1">
      <alignment/>
      <protection/>
    </xf>
    <xf numFmtId="167" fontId="19" fillId="0" borderId="11" xfId="0" applyNumberFormat="1" applyFont="1" applyBorder="1" applyAlignment="1" applyProtection="1">
      <alignment horizontal="right"/>
      <protection/>
    </xf>
    <xf numFmtId="0" fontId="19" fillId="0" borderId="11" xfId="0" applyFont="1" applyBorder="1" applyAlignment="1" applyProtection="1">
      <alignment horizontal="right"/>
      <protection/>
    </xf>
    <xf numFmtId="0" fontId="40" fillId="0" borderId="0" xfId="0" applyFont="1" applyAlignment="1" applyProtection="1">
      <alignment horizontal="center" vertical="center"/>
      <protection/>
    </xf>
    <xf numFmtId="167" fontId="0" fillId="0" borderId="0" xfId="0" applyNumberFormat="1" applyFont="1" applyAlignment="1" applyProtection="1">
      <alignment/>
      <protection/>
    </xf>
    <xf numFmtId="0" fontId="0" fillId="0" borderId="0" xfId="0" applyFont="1" applyAlignment="1" applyProtection="1">
      <alignment vertical="center"/>
      <protection/>
    </xf>
    <xf numFmtId="0" fontId="21" fillId="0" borderId="12" xfId="0" applyFont="1" applyBorder="1" applyAlignment="1" applyProtection="1">
      <alignment vertical="center"/>
      <protection/>
    </xf>
    <xf numFmtId="0" fontId="0" fillId="0" borderId="13" xfId="0" applyFont="1" applyBorder="1" applyAlignment="1" applyProtection="1">
      <alignment/>
      <protection/>
    </xf>
    <xf numFmtId="167" fontId="0" fillId="0" borderId="13" xfId="0" applyNumberFormat="1" applyFont="1" applyBorder="1" applyAlignment="1" applyProtection="1">
      <alignment/>
      <protection/>
    </xf>
    <xf numFmtId="0" fontId="21" fillId="0" borderId="14" xfId="0" applyFont="1" applyBorder="1" applyAlignment="1" applyProtection="1">
      <alignment horizontal="right"/>
      <protection/>
    </xf>
    <xf numFmtId="0" fontId="23" fillId="0" borderId="15" xfId="0" applyFont="1" applyBorder="1" applyAlignment="1" applyProtection="1">
      <alignment vertical="center"/>
      <protection/>
    </xf>
    <xf numFmtId="0" fontId="0" fillId="0" borderId="16" xfId="0" applyFont="1" applyBorder="1" applyAlignment="1" applyProtection="1">
      <alignment/>
      <protection/>
    </xf>
    <xf numFmtId="167" fontId="0" fillId="0" borderId="16" xfId="0" applyNumberFormat="1" applyFont="1" applyBorder="1" applyAlignment="1" applyProtection="1">
      <alignment/>
      <protection/>
    </xf>
    <xf numFmtId="0" fontId="24" fillId="0" borderId="17" xfId="0" applyFont="1" applyBorder="1" applyAlignment="1" applyProtection="1">
      <alignment horizontal="right"/>
      <protection/>
    </xf>
    <xf numFmtId="0" fontId="20" fillId="0" borderId="0" xfId="0" applyFont="1" applyBorder="1" applyAlignment="1" applyProtection="1">
      <alignment/>
      <protection/>
    </xf>
    <xf numFmtId="0" fontId="0" fillId="0" borderId="0" xfId="66" applyNumberFormat="1" applyFont="1" applyFill="1" applyBorder="1" applyAlignment="1" applyProtection="1">
      <alignment horizontal="left" vertical="center"/>
      <protection/>
    </xf>
    <xf numFmtId="0" fontId="25" fillId="17" borderId="18" xfId="54" applyNumberFormat="1" applyFill="1" applyBorder="1" applyAlignment="1" applyProtection="1">
      <alignment horizontal="left" vertical="center"/>
      <protection/>
    </xf>
    <xf numFmtId="0" fontId="20" fillId="17" borderId="18" xfId="0" applyFont="1" applyFill="1" applyBorder="1" applyAlignment="1" applyProtection="1">
      <alignment/>
      <protection/>
    </xf>
    <xf numFmtId="176" fontId="20" fillId="0" borderId="18" xfId="0" applyNumberFormat="1" applyFont="1" applyBorder="1" applyAlignment="1" applyProtection="1">
      <alignment/>
      <protection/>
    </xf>
    <xf numFmtId="0" fontId="41" fillId="0" borderId="0" xfId="0" applyFont="1" applyAlignment="1" applyProtection="1">
      <alignment horizontal="center" vertical="center"/>
      <protection/>
    </xf>
    <xf numFmtId="0" fontId="0" fillId="0" borderId="0" xfId="66" applyNumberFormat="1" applyFont="1" applyFill="1" applyBorder="1" applyAlignment="1" applyProtection="1">
      <alignment horizontal="left" vertical="center" indent="1"/>
      <protection/>
    </xf>
    <xf numFmtId="0" fontId="0" fillId="0" borderId="0" xfId="66" applyNumberFormat="1" applyFont="1" applyFill="1" applyBorder="1" applyAlignment="1" applyProtection="1">
      <alignment horizontal="left" vertical="center" indent="1"/>
      <protection/>
    </xf>
    <xf numFmtId="0" fontId="0" fillId="0" borderId="0" xfId="66" applyFont="1" applyFill="1" applyAlignment="1" applyProtection="1">
      <alignment horizontal="left" vertical="center" indent="1"/>
      <protection/>
    </xf>
    <xf numFmtId="0" fontId="0" fillId="0" borderId="0" xfId="0" applyFont="1" applyBorder="1" applyAlignment="1" applyProtection="1">
      <alignment vertical="center"/>
      <protection/>
    </xf>
    <xf numFmtId="167" fontId="0" fillId="0" borderId="0" xfId="0" applyNumberFormat="1" applyFont="1" applyBorder="1" applyAlignment="1" applyProtection="1">
      <alignment/>
      <protection/>
    </xf>
    <xf numFmtId="176" fontId="0" fillId="0" borderId="0" xfId="0" applyNumberFormat="1" applyFont="1" applyBorder="1" applyAlignment="1" applyProtection="1">
      <alignment/>
      <protection/>
    </xf>
    <xf numFmtId="0" fontId="26" fillId="0" borderId="9" xfId="0" applyFont="1" applyBorder="1" applyAlignment="1" applyProtection="1">
      <alignment vertical="center"/>
      <protection/>
    </xf>
    <xf numFmtId="0" fontId="0" fillId="0" borderId="9" xfId="0" applyFont="1" applyBorder="1" applyAlignment="1" applyProtection="1">
      <alignment/>
      <protection/>
    </xf>
    <xf numFmtId="0" fontId="0" fillId="0" borderId="9" xfId="0" applyFont="1" applyBorder="1" applyAlignment="1" applyProtection="1">
      <alignment vertical="center"/>
      <protection/>
    </xf>
    <xf numFmtId="167" fontId="0" fillId="0" borderId="9" xfId="0" applyNumberFormat="1" applyFont="1" applyBorder="1" applyAlignment="1" applyProtection="1">
      <alignment/>
      <protection/>
    </xf>
    <xf numFmtId="3" fontId="20" fillId="0" borderId="9" xfId="0" applyNumberFormat="1" applyFont="1" applyBorder="1" applyAlignment="1" applyProtection="1">
      <alignment/>
      <protection/>
    </xf>
    <xf numFmtId="0" fontId="20" fillId="0" borderId="9" xfId="0" applyFont="1" applyBorder="1" applyAlignment="1" applyProtection="1">
      <alignment vertical="center"/>
      <protection/>
    </xf>
    <xf numFmtId="3" fontId="0" fillId="0" borderId="9" xfId="0" applyNumberFormat="1" applyFont="1" applyBorder="1" applyAlignment="1" applyProtection="1">
      <alignment horizontal="right"/>
      <protection/>
    </xf>
    <xf numFmtId="176" fontId="20" fillId="0" borderId="9" xfId="0" applyNumberFormat="1" applyFont="1" applyBorder="1" applyAlignment="1" applyProtection="1">
      <alignment/>
      <protection/>
    </xf>
    <xf numFmtId="176" fontId="0" fillId="0" borderId="9" xfId="0" applyNumberFormat="1" applyFont="1" applyBorder="1" applyAlignment="1" applyProtection="1">
      <alignment/>
      <protection/>
    </xf>
    <xf numFmtId="0" fontId="0" fillId="0" borderId="19" xfId="0" applyFont="1" applyBorder="1" applyAlignment="1" applyProtection="1">
      <alignment vertical="center"/>
      <protection/>
    </xf>
    <xf numFmtId="0" fontId="0" fillId="0" borderId="19" xfId="0" applyFont="1" applyBorder="1" applyAlignment="1" applyProtection="1">
      <alignment/>
      <protection/>
    </xf>
    <xf numFmtId="10" fontId="0" fillId="0" borderId="19" xfId="69" applyNumberFormat="1" applyFill="1" applyBorder="1" applyAlignment="1" applyProtection="1">
      <alignment vertical="center"/>
      <protection/>
    </xf>
    <xf numFmtId="0" fontId="26" fillId="0" borderId="20" xfId="0" applyFont="1" applyBorder="1" applyAlignment="1" applyProtection="1">
      <alignment vertical="center"/>
      <protection/>
    </xf>
    <xf numFmtId="0" fontId="0" fillId="0" borderId="21" xfId="0" applyFont="1" applyBorder="1" applyAlignment="1" applyProtection="1">
      <alignment/>
      <protection/>
    </xf>
    <xf numFmtId="167" fontId="0" fillId="0" borderId="21" xfId="0" applyNumberFormat="1" applyFont="1" applyBorder="1" applyAlignment="1" applyProtection="1">
      <alignment/>
      <protection/>
    </xf>
    <xf numFmtId="176" fontId="20" fillId="0" borderId="22" xfId="0" applyNumberFormat="1" applyFont="1" applyBorder="1" applyAlignment="1" applyProtection="1">
      <alignment/>
      <protection/>
    </xf>
    <xf numFmtId="0" fontId="0" fillId="0" borderId="23" xfId="0" applyFont="1" applyBorder="1" applyAlignment="1" applyProtection="1">
      <alignment vertical="center"/>
      <protection/>
    </xf>
    <xf numFmtId="0" fontId="0" fillId="0" borderId="23" xfId="0" applyFont="1" applyBorder="1" applyAlignment="1" applyProtection="1">
      <alignment/>
      <protection/>
    </xf>
    <xf numFmtId="167" fontId="0" fillId="0" borderId="23" xfId="0" applyNumberFormat="1" applyFont="1" applyBorder="1" applyAlignment="1" applyProtection="1">
      <alignment/>
      <protection/>
    </xf>
    <xf numFmtId="0" fontId="40" fillId="0" borderId="0" xfId="0" applyFont="1" applyFill="1" applyAlignment="1" applyProtection="1">
      <alignment horizontal="center" vertical="center"/>
      <protection/>
    </xf>
    <xf numFmtId="0" fontId="0" fillId="0" borderId="24" xfId="0" applyFont="1" applyBorder="1" applyAlignment="1" applyProtection="1">
      <alignment vertical="center"/>
      <protection/>
    </xf>
    <xf numFmtId="0" fontId="0" fillId="0" borderId="24" xfId="0" applyFont="1" applyBorder="1" applyAlignment="1" applyProtection="1">
      <alignment/>
      <protection/>
    </xf>
    <xf numFmtId="167" fontId="0" fillId="0" borderId="24" xfId="0" applyNumberFormat="1" applyFont="1" applyBorder="1" applyAlignment="1" applyProtection="1">
      <alignment/>
      <protection/>
    </xf>
    <xf numFmtId="0" fontId="27" fillId="0" borderId="24" xfId="0" applyFont="1" applyBorder="1" applyAlignment="1" applyProtection="1">
      <alignment vertical="center"/>
      <protection/>
    </xf>
    <xf numFmtId="0" fontId="37" fillId="0" borderId="0" xfId="0" applyFont="1" applyFill="1" applyBorder="1" applyAlignment="1" applyProtection="1">
      <alignment horizontal="left"/>
      <protection/>
    </xf>
    <xf numFmtId="0" fontId="0" fillId="0" borderId="0" xfId="0" applyAlignment="1" applyProtection="1">
      <alignment/>
      <protection/>
    </xf>
    <xf numFmtId="0" fontId="38" fillId="0" borderId="0" xfId="0" applyFont="1" applyFill="1" applyBorder="1" applyAlignment="1" applyProtection="1">
      <alignment horizontal="left"/>
      <protection/>
    </xf>
    <xf numFmtId="182" fontId="38" fillId="0" borderId="0" xfId="0" applyNumberFormat="1" applyFont="1" applyAlignment="1" applyProtection="1">
      <alignment/>
      <protection/>
    </xf>
    <xf numFmtId="183" fontId="20" fillId="0" borderId="0" xfId="0" applyNumberFormat="1" applyFont="1" applyAlignment="1" applyProtection="1">
      <alignment/>
      <protection/>
    </xf>
    <xf numFmtId="9" fontId="40" fillId="0" borderId="0" xfId="0" applyNumberFormat="1" applyFont="1" applyAlignment="1" applyProtection="1">
      <alignment horizontal="center" vertical="center"/>
      <protection/>
    </xf>
    <xf numFmtId="0" fontId="20" fillId="0" borderId="0" xfId="0" applyFont="1" applyAlignment="1" applyProtection="1">
      <alignment/>
      <protection/>
    </xf>
    <xf numFmtId="176" fontId="20" fillId="0" borderId="0" xfId="0" applyNumberFormat="1" applyFont="1" applyAlignment="1" applyProtection="1">
      <alignment/>
      <protection/>
    </xf>
    <xf numFmtId="0" fontId="28" fillId="0" borderId="0" xfId="0" applyFont="1" applyFill="1" applyBorder="1" applyAlignment="1" applyProtection="1">
      <alignment vertical="center"/>
      <protection/>
    </xf>
    <xf numFmtId="0" fontId="20" fillId="0" borderId="0" xfId="0" applyFont="1" applyAlignment="1" applyProtection="1">
      <alignment vertical="center"/>
      <protection/>
    </xf>
    <xf numFmtId="3" fontId="0" fillId="2" borderId="0" xfId="0" applyNumberFormat="1" applyFont="1" applyFill="1" applyBorder="1" applyAlignment="1" applyProtection="1">
      <alignment vertical="center"/>
      <protection/>
    </xf>
    <xf numFmtId="4" fontId="0" fillId="0" borderId="0" xfId="66" applyNumberFormat="1" applyFont="1" applyFill="1" applyBorder="1" applyProtection="1">
      <alignment/>
      <protection/>
    </xf>
    <xf numFmtId="167" fontId="0" fillId="0" borderId="0" xfId="66" applyNumberFormat="1" applyFont="1" applyFill="1" applyBorder="1" applyProtection="1">
      <alignment/>
      <protection/>
    </xf>
    <xf numFmtId="167" fontId="0" fillId="0" borderId="0" xfId="0" applyNumberFormat="1" applyFont="1" applyFill="1" applyBorder="1" applyAlignment="1" applyProtection="1">
      <alignment horizontal="left" vertical="top" wrapText="1"/>
      <protection/>
    </xf>
    <xf numFmtId="0" fontId="29" fillId="0" borderId="0" xfId="0" applyFont="1" applyBorder="1" applyAlignment="1" applyProtection="1">
      <alignment/>
      <protection/>
    </xf>
    <xf numFmtId="0" fontId="29" fillId="0" borderId="0" xfId="0" applyFont="1" applyFill="1" applyBorder="1" applyAlignment="1" applyProtection="1">
      <alignment horizontal="center"/>
      <protection/>
    </xf>
    <xf numFmtId="0" fontId="29" fillId="0" borderId="0" xfId="0" applyFont="1" applyAlignment="1" applyProtection="1">
      <alignment vertical="center"/>
      <protection/>
    </xf>
    <xf numFmtId="0" fontId="29" fillId="0" borderId="0" xfId="0" applyFont="1" applyAlignment="1" applyProtection="1">
      <alignment/>
      <protection/>
    </xf>
    <xf numFmtId="167" fontId="29" fillId="0" borderId="0" xfId="0" applyNumberFormat="1" applyFont="1" applyAlignment="1" applyProtection="1">
      <alignment/>
      <protection/>
    </xf>
    <xf numFmtId="0" fontId="42" fillId="0" borderId="0" xfId="0" applyFont="1" applyAlignment="1" applyProtection="1">
      <alignment horizontal="center" vertical="center"/>
      <protection/>
    </xf>
    <xf numFmtId="0" fontId="0" fillId="0" borderId="0" xfId="0" applyFont="1" applyFill="1" applyBorder="1" applyAlignment="1" applyProtection="1">
      <alignment/>
      <protection/>
    </xf>
    <xf numFmtId="4" fontId="0" fillId="0" borderId="0" xfId="0" applyNumberFormat="1" applyFont="1" applyFill="1" applyBorder="1" applyAlignment="1" applyProtection="1">
      <alignment/>
      <protection/>
    </xf>
    <xf numFmtId="0" fontId="0" fillId="0" borderId="0" xfId="66" applyFont="1" applyFill="1" applyBorder="1" applyAlignment="1" applyProtection="1">
      <alignment vertical="center"/>
      <protection/>
    </xf>
    <xf numFmtId="49" fontId="30" fillId="0" borderId="0" xfId="0" applyNumberFormat="1" applyFont="1" applyFill="1" applyBorder="1" applyAlignment="1" applyProtection="1">
      <alignment horizontal="center" vertical="center"/>
      <protection/>
    </xf>
    <xf numFmtId="3" fontId="0" fillId="0" borderId="0" xfId="0" applyNumberFormat="1" applyFont="1" applyFill="1" applyBorder="1" applyAlignment="1" applyProtection="1">
      <alignment horizontal="center" vertical="center"/>
      <protection/>
    </xf>
    <xf numFmtId="4" fontId="0" fillId="0" borderId="0" xfId="0" applyNumberFormat="1" applyFont="1" applyBorder="1" applyAlignment="1" applyProtection="1">
      <alignment/>
      <protection/>
    </xf>
    <xf numFmtId="0" fontId="0" fillId="0" borderId="25" xfId="0" applyFont="1" applyBorder="1" applyAlignment="1" applyProtection="1">
      <alignment/>
      <protection/>
    </xf>
    <xf numFmtId="0" fontId="30" fillId="0" borderId="0" xfId="66" applyFont="1" applyFill="1" applyBorder="1" applyAlignment="1" applyProtection="1">
      <alignment vertical="center"/>
      <protection/>
    </xf>
    <xf numFmtId="0" fontId="26" fillId="0" borderId="0" xfId="0" applyNumberFormat="1" applyFont="1" applyFill="1" applyBorder="1" applyAlignment="1" applyProtection="1">
      <alignment horizontal="center" vertical="center"/>
      <protection/>
    </xf>
    <xf numFmtId="0" fontId="25" fillId="18" borderId="25" xfId="54" applyNumberFormat="1" applyFill="1" applyBorder="1" applyAlignment="1" applyProtection="1">
      <alignment vertical="center"/>
      <protection/>
    </xf>
    <xf numFmtId="0" fontId="43" fillId="0" borderId="0" xfId="0" applyFont="1" applyFill="1" applyAlignment="1" applyProtection="1">
      <alignment horizontal="center" vertical="center"/>
      <protection/>
    </xf>
    <xf numFmtId="0" fontId="1" fillId="0" borderId="0" xfId="66" applyFont="1" applyFill="1" applyBorder="1" applyAlignment="1" applyProtection="1">
      <alignment vertical="center"/>
      <protection/>
    </xf>
    <xf numFmtId="3" fontId="1" fillId="0" borderId="0" xfId="0" applyNumberFormat="1" applyFont="1" applyFill="1" applyBorder="1" applyAlignment="1" applyProtection="1">
      <alignment horizontal="center" vertical="center"/>
      <protection/>
    </xf>
    <xf numFmtId="3" fontId="1" fillId="0" borderId="18" xfId="0" applyNumberFormat="1" applyFont="1" applyFill="1" applyBorder="1" applyAlignment="1" applyProtection="1">
      <alignment horizontal="left" vertical="center" wrapText="1"/>
      <protection/>
    </xf>
    <xf numFmtId="3" fontId="1" fillId="0" borderId="18" xfId="0" applyNumberFormat="1" applyFont="1" applyFill="1" applyBorder="1" applyAlignment="1" applyProtection="1">
      <alignment horizontal="left" vertical="center"/>
      <protection/>
    </xf>
    <xf numFmtId="177" fontId="1" fillId="0" borderId="18" xfId="0" applyNumberFormat="1" applyFont="1" applyFill="1" applyBorder="1" applyAlignment="1" applyProtection="1">
      <alignment vertical="center"/>
      <protection/>
    </xf>
    <xf numFmtId="3" fontId="1" fillId="0" borderId="18" xfId="0" applyNumberFormat="1" applyFont="1" applyBorder="1" applyAlignment="1" applyProtection="1">
      <alignment horizontal="left" vertical="center" wrapText="1"/>
      <protection/>
    </xf>
    <xf numFmtId="167" fontId="48" fillId="0" borderId="18" xfId="0" applyNumberFormat="1" applyFont="1" applyFill="1" applyBorder="1" applyAlignment="1" applyProtection="1">
      <alignment horizontal="left" vertical="center"/>
      <protection/>
    </xf>
    <xf numFmtId="0" fontId="1" fillId="0" borderId="0" xfId="66" applyFont="1" applyAlignment="1" applyProtection="1">
      <alignment vertical="center"/>
      <protection/>
    </xf>
    <xf numFmtId="3" fontId="1" fillId="0" borderId="18" xfId="0" applyNumberFormat="1" applyFont="1" applyBorder="1" applyAlignment="1" applyProtection="1">
      <alignment horizontal="left" vertical="center"/>
      <protection/>
    </xf>
    <xf numFmtId="177" fontId="1" fillId="0" borderId="18" xfId="0" applyNumberFormat="1" applyFont="1" applyBorder="1" applyAlignment="1" applyProtection="1">
      <alignment vertical="center"/>
      <protection/>
    </xf>
    <xf numFmtId="0" fontId="31" fillId="6" borderId="26" xfId="66" applyFont="1" applyFill="1" applyBorder="1" applyAlignment="1" applyProtection="1">
      <alignment vertical="center" wrapText="1"/>
      <protection/>
    </xf>
    <xf numFmtId="0" fontId="1" fillId="6" borderId="27" xfId="66" applyFont="1" applyFill="1" applyBorder="1" applyProtection="1">
      <alignment/>
      <protection/>
    </xf>
    <xf numFmtId="177" fontId="1" fillId="6" borderId="22" xfId="0" applyNumberFormat="1" applyFont="1" applyFill="1" applyBorder="1" applyAlignment="1" applyProtection="1">
      <alignment/>
      <protection/>
    </xf>
    <xf numFmtId="0" fontId="0" fillId="0" borderId="0" xfId="66" applyFont="1" applyFill="1" applyBorder="1" applyAlignment="1" applyProtection="1">
      <alignment vertical="center" wrapText="1"/>
      <protection/>
    </xf>
    <xf numFmtId="0" fontId="0" fillId="0" borderId="0" xfId="66" applyFont="1" applyFill="1" applyBorder="1" applyProtection="1">
      <alignment/>
      <protection/>
    </xf>
    <xf numFmtId="3" fontId="0" fillId="0" borderId="0" xfId="0" applyNumberFormat="1" applyFont="1" applyBorder="1" applyAlignment="1" applyProtection="1">
      <alignment/>
      <protection/>
    </xf>
    <xf numFmtId="0" fontId="26" fillId="0" borderId="0" xfId="0" applyNumberFormat="1" applyFont="1" applyFill="1" applyBorder="1" applyAlignment="1" applyProtection="1">
      <alignment horizontal="center" vertical="center"/>
      <protection/>
    </xf>
    <xf numFmtId="167" fontId="48" fillId="0" borderId="18" xfId="0" applyNumberFormat="1" applyFont="1" applyBorder="1" applyAlignment="1" applyProtection="1">
      <alignment horizontal="left" vertical="center"/>
      <protection/>
    </xf>
    <xf numFmtId="0" fontId="0" fillId="0" borderId="28" xfId="66" applyFont="1" applyFill="1" applyBorder="1" applyAlignment="1" applyProtection="1">
      <alignment vertical="center" wrapText="1"/>
      <protection/>
    </xf>
    <xf numFmtId="0" fontId="20" fillId="6" borderId="26" xfId="66" applyFont="1" applyFill="1" applyBorder="1" applyAlignment="1" applyProtection="1">
      <alignment vertical="center" wrapText="1"/>
      <protection/>
    </xf>
    <xf numFmtId="0" fontId="0" fillId="6" borderId="27" xfId="66" applyFont="1" applyFill="1" applyBorder="1" applyProtection="1">
      <alignment/>
      <protection/>
    </xf>
    <xf numFmtId="167" fontId="0" fillId="6" borderId="27" xfId="0" applyNumberFormat="1" applyFont="1" applyFill="1" applyBorder="1" applyAlignment="1" applyProtection="1">
      <alignment/>
      <protection/>
    </xf>
    <xf numFmtId="3" fontId="36" fillId="0" borderId="0" xfId="0" applyNumberFormat="1" applyFont="1" applyFill="1" applyBorder="1" applyAlignment="1" applyProtection="1">
      <alignment horizontal="center" vertical="center"/>
      <protection/>
    </xf>
    <xf numFmtId="3" fontId="36" fillId="0" borderId="18" xfId="0" applyNumberFormat="1" applyFont="1" applyFill="1" applyBorder="1" applyAlignment="1" applyProtection="1">
      <alignment horizontal="left" vertical="center" wrapText="1"/>
      <protection/>
    </xf>
    <xf numFmtId="3" fontId="36" fillId="0" borderId="18" xfId="0" applyNumberFormat="1" applyFont="1" applyFill="1" applyBorder="1" applyAlignment="1" applyProtection="1">
      <alignment horizontal="left" vertical="center"/>
      <protection/>
    </xf>
    <xf numFmtId="177" fontId="36" fillId="0" borderId="18" xfId="0" applyNumberFormat="1" applyFont="1" applyFill="1" applyBorder="1" applyAlignment="1" applyProtection="1">
      <alignment vertical="center"/>
      <protection/>
    </xf>
    <xf numFmtId="167" fontId="40" fillId="0" borderId="0" xfId="0" applyNumberFormat="1" applyFont="1" applyFill="1" applyBorder="1" applyAlignment="1" applyProtection="1">
      <alignment horizontal="center" vertical="center"/>
      <protection/>
    </xf>
    <xf numFmtId="3" fontId="1" fillId="0" borderId="0" xfId="0" applyNumberFormat="1" applyFont="1" applyFill="1" applyBorder="1" applyAlignment="1" applyProtection="1">
      <alignment horizontal="left" vertical="center"/>
      <protection/>
    </xf>
    <xf numFmtId="177" fontId="1" fillId="0" borderId="0" xfId="0" applyNumberFormat="1" applyFont="1" applyFill="1" applyBorder="1" applyAlignment="1" applyProtection="1">
      <alignment vertical="center"/>
      <protection/>
    </xf>
    <xf numFmtId="3" fontId="36" fillId="0" borderId="18" xfId="0" applyNumberFormat="1" applyFont="1" applyBorder="1" applyAlignment="1" applyProtection="1">
      <alignment horizontal="left" vertical="center" wrapText="1"/>
      <protection/>
    </xf>
    <xf numFmtId="3" fontId="36" fillId="0" borderId="18" xfId="0" applyNumberFormat="1" applyFont="1" applyBorder="1" applyAlignment="1" applyProtection="1">
      <alignment horizontal="left" vertical="center"/>
      <protection/>
    </xf>
    <xf numFmtId="177" fontId="36" fillId="0" borderId="18" xfId="0" applyNumberFormat="1" applyFont="1" applyBorder="1" applyAlignment="1" applyProtection="1">
      <alignment vertical="center"/>
      <protection/>
    </xf>
    <xf numFmtId="3" fontId="1" fillId="0" borderId="0" xfId="0" applyNumberFormat="1" applyFont="1" applyFill="1" applyAlignment="1" applyProtection="1">
      <alignment horizontal="center" vertical="center"/>
      <protection/>
    </xf>
    <xf numFmtId="0" fontId="0" fillId="0" borderId="28" xfId="66" applyFont="1" applyFill="1" applyBorder="1" applyAlignment="1" applyProtection="1">
      <alignment vertical="center" wrapText="1"/>
      <protection/>
    </xf>
    <xf numFmtId="3" fontId="1" fillId="0" borderId="0" xfId="0" applyNumberFormat="1" applyFont="1" applyAlignment="1" applyProtection="1">
      <alignment horizontal="left" vertical="center"/>
      <protection/>
    </xf>
    <xf numFmtId="177" fontId="1" fillId="0" borderId="0" xfId="0" applyNumberFormat="1" applyFont="1" applyAlignment="1" applyProtection="1">
      <alignment vertical="center"/>
      <protection/>
    </xf>
    <xf numFmtId="0" fontId="26" fillId="0" borderId="0" xfId="0" applyFont="1" applyFill="1" applyAlignment="1" applyProtection="1">
      <alignment horizontal="center" vertical="center"/>
      <protection/>
    </xf>
    <xf numFmtId="3" fontId="0" fillId="6" borderId="22" xfId="0" applyNumberFormat="1" applyFont="1" applyFill="1" applyBorder="1" applyAlignment="1" applyProtection="1">
      <alignment/>
      <protection/>
    </xf>
    <xf numFmtId="0" fontId="35" fillId="0" borderId="0" xfId="0" applyFont="1" applyAlignment="1" applyProtection="1">
      <alignment/>
      <protection/>
    </xf>
    <xf numFmtId="170" fontId="19" fillId="0" borderId="11" xfId="0" applyNumberFormat="1" applyFont="1" applyBorder="1" applyAlignment="1" applyProtection="1">
      <alignment horizontal="right"/>
      <protection/>
    </xf>
    <xf numFmtId="170" fontId="0" fillId="0" borderId="0" xfId="0" applyNumberFormat="1" applyFont="1" applyAlignment="1" applyProtection="1">
      <alignment/>
      <protection/>
    </xf>
    <xf numFmtId="170" fontId="0" fillId="0" borderId="13" xfId="0" applyNumberFormat="1" applyFont="1" applyBorder="1" applyAlignment="1" applyProtection="1">
      <alignment/>
      <protection/>
    </xf>
    <xf numFmtId="170" fontId="0" fillId="0" borderId="16" xfId="0" applyNumberFormat="1" applyFont="1" applyBorder="1" applyAlignment="1" applyProtection="1">
      <alignment/>
      <protection/>
    </xf>
    <xf numFmtId="170" fontId="20" fillId="0" borderId="18" xfId="0" applyNumberFormat="1" applyFont="1" applyBorder="1" applyAlignment="1" applyProtection="1">
      <alignment/>
      <protection/>
    </xf>
    <xf numFmtId="170" fontId="0" fillId="0" borderId="0" xfId="0" applyNumberFormat="1" applyFont="1" applyBorder="1" applyAlignment="1" applyProtection="1">
      <alignment/>
      <protection/>
    </xf>
    <xf numFmtId="170" fontId="27" fillId="0" borderId="9" xfId="0" applyNumberFormat="1" applyFont="1" applyBorder="1" applyAlignment="1" applyProtection="1">
      <alignment/>
      <protection/>
    </xf>
    <xf numFmtId="170" fontId="0" fillId="0" borderId="9" xfId="0" applyNumberFormat="1" applyFont="1" applyBorder="1" applyAlignment="1" applyProtection="1">
      <alignment/>
      <protection/>
    </xf>
    <xf numFmtId="170" fontId="0" fillId="0" borderId="19" xfId="0" applyNumberFormat="1" applyFont="1" applyBorder="1" applyAlignment="1" applyProtection="1">
      <alignment/>
      <protection/>
    </xf>
    <xf numFmtId="170" fontId="0" fillId="0" borderId="21" xfId="0" applyNumberFormat="1" applyFont="1" applyBorder="1" applyAlignment="1" applyProtection="1">
      <alignment/>
      <protection/>
    </xf>
    <xf numFmtId="170" fontId="0" fillId="0" borderId="23" xfId="0" applyNumberFormat="1" applyFont="1" applyBorder="1" applyAlignment="1" applyProtection="1">
      <alignment/>
      <protection/>
    </xf>
    <xf numFmtId="170" fontId="0" fillId="0" borderId="24" xfId="0" applyNumberFormat="1" applyFont="1" applyBorder="1" applyAlignment="1" applyProtection="1">
      <alignment/>
      <protection/>
    </xf>
    <xf numFmtId="170" fontId="0" fillId="0" borderId="0" xfId="0" applyNumberFormat="1" applyAlignment="1" applyProtection="1">
      <alignment/>
      <protection/>
    </xf>
    <xf numFmtId="170" fontId="0" fillId="0" borderId="0" xfId="66" applyNumberFormat="1" applyFont="1" applyFill="1" applyBorder="1" applyProtection="1">
      <alignment/>
      <protection/>
    </xf>
    <xf numFmtId="170" fontId="29" fillId="0" borderId="0" xfId="0" applyNumberFormat="1" applyFont="1" applyAlignment="1" applyProtection="1">
      <alignment/>
      <protection/>
    </xf>
    <xf numFmtId="170" fontId="0" fillId="0" borderId="0" xfId="0" applyNumberFormat="1" applyFont="1" applyFill="1" applyBorder="1" applyAlignment="1" applyProtection="1">
      <alignment horizontal="left" vertical="top" wrapText="1"/>
      <protection/>
    </xf>
    <xf numFmtId="170" fontId="0" fillId="0" borderId="0" xfId="0" applyNumberFormat="1" applyFont="1" applyFill="1" applyBorder="1" applyAlignment="1" applyProtection="1">
      <alignment/>
      <protection/>
    </xf>
    <xf numFmtId="170" fontId="1" fillId="0" borderId="18" xfId="0" applyNumberFormat="1" applyFont="1" applyFill="1" applyBorder="1" applyAlignment="1" applyProtection="1">
      <alignment horizontal="right" vertical="center"/>
      <protection/>
    </xf>
    <xf numFmtId="170" fontId="1" fillId="0" borderId="18" xfId="0" applyNumberFormat="1" applyFont="1" applyBorder="1" applyAlignment="1" applyProtection="1">
      <alignment horizontal="right" vertical="center"/>
      <protection/>
    </xf>
    <xf numFmtId="170" fontId="1" fillId="6" borderId="27" xfId="0" applyNumberFormat="1" applyFont="1" applyFill="1" applyBorder="1" applyAlignment="1" applyProtection="1">
      <alignment/>
      <protection/>
    </xf>
    <xf numFmtId="170" fontId="0" fillId="6" borderId="27" xfId="0" applyNumberFormat="1" applyFont="1" applyFill="1" applyBorder="1" applyAlignment="1" applyProtection="1">
      <alignment/>
      <protection/>
    </xf>
    <xf numFmtId="170" fontId="36" fillId="0" borderId="18" xfId="0" applyNumberFormat="1" applyFont="1" applyFill="1" applyBorder="1" applyAlignment="1" applyProtection="1">
      <alignment horizontal="right" vertical="center"/>
      <protection/>
    </xf>
    <xf numFmtId="170" fontId="36" fillId="0" borderId="18" xfId="0" applyNumberFormat="1" applyFont="1" applyBorder="1" applyAlignment="1" applyProtection="1">
      <alignment horizontal="right" vertical="center"/>
      <protection/>
    </xf>
    <xf numFmtId="170" fontId="25" fillId="18" borderId="25" xfId="54" applyNumberFormat="1" applyFill="1" applyBorder="1" applyAlignment="1" applyProtection="1">
      <alignment vertical="center"/>
      <protection/>
    </xf>
    <xf numFmtId="170" fontId="0" fillId="6" borderId="27" xfId="0" applyNumberFormat="1" applyFill="1" applyBorder="1" applyAlignment="1" applyProtection="1">
      <alignment/>
      <protection/>
    </xf>
    <xf numFmtId="0" fontId="19" fillId="0" borderId="11" xfId="0" applyFont="1" applyBorder="1" applyAlignment="1" applyProtection="1">
      <alignment horizontal="right"/>
      <protection locked="0"/>
    </xf>
    <xf numFmtId="0" fontId="44" fillId="0" borderId="0" xfId="0" applyFont="1" applyAlignment="1" applyProtection="1">
      <alignment/>
      <protection locked="0"/>
    </xf>
    <xf numFmtId="0" fontId="45" fillId="0" borderId="0" xfId="0" applyFont="1" applyAlignment="1" applyProtection="1">
      <alignment/>
      <protection locked="0"/>
    </xf>
    <xf numFmtId="0" fontId="46" fillId="0" borderId="0" xfId="0" applyFont="1" applyAlignment="1" applyProtection="1">
      <alignment/>
      <protection locked="0"/>
    </xf>
    <xf numFmtId="0" fontId="47" fillId="0" borderId="0" xfId="0" applyFont="1" applyAlignment="1" applyProtection="1">
      <alignment/>
      <protection locked="0"/>
    </xf>
    <xf numFmtId="167" fontId="44" fillId="0" borderId="0" xfId="0" applyNumberFormat="1" applyFont="1" applyBorder="1" applyAlignment="1" applyProtection="1">
      <alignment/>
      <protection locked="0"/>
    </xf>
    <xf numFmtId="167" fontId="44" fillId="0" borderId="0" xfId="0" applyNumberFormat="1" applyFont="1" applyAlignment="1" applyProtection="1">
      <alignment/>
      <protection locked="0"/>
    </xf>
    <xf numFmtId="0" fontId="40" fillId="16" borderId="0" xfId="0" applyFont="1" applyFill="1" applyAlignment="1" applyProtection="1">
      <alignment horizontal="center" vertical="center"/>
      <protection locked="0"/>
    </xf>
    <xf numFmtId="170" fontId="48" fillId="0" borderId="18" xfId="0" applyNumberFormat="1" applyFont="1" applyFill="1" applyBorder="1" applyAlignment="1" applyProtection="1">
      <alignment horizontal="left" vertical="center"/>
      <protection/>
    </xf>
    <xf numFmtId="0" fontId="26" fillId="0" borderId="0" xfId="0" applyFont="1" applyFill="1" applyAlignment="1" applyProtection="1">
      <alignment horizontal="center" vertical="center"/>
      <protection/>
    </xf>
    <xf numFmtId="3" fontId="36" fillId="0" borderId="0" xfId="0" applyNumberFormat="1" applyFont="1" applyFill="1" applyAlignment="1" applyProtection="1">
      <alignment horizontal="center" vertical="center"/>
      <protection/>
    </xf>
    <xf numFmtId="0" fontId="44" fillId="0" borderId="0" xfId="0" applyFont="1" applyFill="1" applyAlignment="1" applyProtection="1">
      <alignment/>
      <protection locked="0"/>
    </xf>
    <xf numFmtId="0" fontId="44" fillId="0" borderId="0" xfId="0" applyFont="1" applyAlignment="1">
      <alignment/>
    </xf>
    <xf numFmtId="0" fontId="0" fillId="0" borderId="0" xfId="0" applyFont="1" applyAlignment="1" applyProtection="1">
      <alignment/>
      <protection locked="0"/>
    </xf>
    <xf numFmtId="167" fontId="44" fillId="0" borderId="0" xfId="0" applyNumberFormat="1" applyFont="1" applyBorder="1" applyAlignment="1">
      <alignment/>
    </xf>
    <xf numFmtId="167" fontId="0" fillId="0" borderId="0" xfId="0" applyNumberFormat="1" applyFont="1" applyFill="1" applyBorder="1" applyAlignment="1">
      <alignment/>
    </xf>
    <xf numFmtId="3" fontId="1" fillId="19" borderId="25" xfId="0" applyNumberFormat="1" applyFont="1" applyFill="1" applyBorder="1" applyAlignment="1" applyProtection="1">
      <alignment vertical="center" wrapText="1"/>
      <protection/>
    </xf>
    <xf numFmtId="3" fontId="33" fillId="19" borderId="25" xfId="0" applyNumberFormat="1" applyFont="1" applyFill="1" applyBorder="1" applyAlignment="1" applyProtection="1">
      <alignment vertical="center" wrapText="1"/>
      <protection/>
    </xf>
    <xf numFmtId="3" fontId="1" fillId="19" borderId="29" xfId="0" applyNumberFormat="1" applyFont="1" applyFill="1" applyBorder="1" applyAlignment="1" applyProtection="1">
      <alignment vertical="center" wrapText="1"/>
      <protection/>
    </xf>
    <xf numFmtId="0" fontId="25" fillId="18" borderId="25" xfId="54" applyNumberFormat="1" applyFont="1" applyFill="1" applyBorder="1" applyAlignment="1" applyProtection="1">
      <alignment vertical="center"/>
      <protection/>
    </xf>
    <xf numFmtId="177" fontId="1" fillId="20" borderId="18" xfId="0" applyNumberFormat="1" applyFont="1" applyFill="1" applyBorder="1" applyAlignment="1" applyProtection="1">
      <alignment vertical="center"/>
      <protection locked="0"/>
    </xf>
    <xf numFmtId="0" fontId="40" fillId="0" borderId="0" xfId="0" applyFont="1" applyFill="1" applyAlignment="1">
      <alignment horizontal="center" vertical="center"/>
    </xf>
    <xf numFmtId="170" fontId="0" fillId="0" borderId="0" xfId="0" applyNumberFormat="1" applyAlignment="1">
      <alignment/>
    </xf>
    <xf numFmtId="0" fontId="25" fillId="0" borderId="0" xfId="54" applyAlignment="1">
      <alignment/>
    </xf>
    <xf numFmtId="9" fontId="0" fillId="20" borderId="18" xfId="69" applyFill="1" applyBorder="1" applyAlignment="1" applyProtection="1">
      <alignment vertical="center"/>
      <protection locked="0"/>
    </xf>
    <xf numFmtId="170" fontId="1" fillId="0" borderId="18" xfId="0" applyNumberFormat="1" applyFont="1" applyFill="1" applyBorder="1" applyAlignment="1" applyProtection="1">
      <alignment horizontal="right" vertical="center"/>
      <protection hidden="1"/>
    </xf>
    <xf numFmtId="170" fontId="48" fillId="0" borderId="18" xfId="0" applyNumberFormat="1" applyFont="1" applyFill="1" applyBorder="1" applyAlignment="1" applyProtection="1">
      <alignment horizontal="right" vertical="center"/>
      <protection/>
    </xf>
    <xf numFmtId="170" fontId="36" fillId="0" borderId="18" xfId="0" applyNumberFormat="1" applyFont="1" applyFill="1" applyBorder="1" applyAlignment="1" applyProtection="1">
      <alignment horizontal="right" vertical="center"/>
      <protection hidden="1"/>
    </xf>
    <xf numFmtId="2" fontId="1" fillId="0" borderId="18" xfId="0" applyNumberFormat="1" applyFont="1" applyFill="1" applyBorder="1" applyAlignment="1" applyProtection="1">
      <alignment horizontal="right" vertical="center"/>
      <protection hidden="1"/>
    </xf>
    <xf numFmtId="2" fontId="36" fillId="0" borderId="18" xfId="0" applyNumberFormat="1" applyFont="1" applyFill="1" applyBorder="1" applyAlignment="1" applyProtection="1">
      <alignment horizontal="right" vertical="center"/>
      <protection hidden="1"/>
    </xf>
    <xf numFmtId="0" fontId="0" fillId="0" borderId="0" xfId="0" applyAlignment="1">
      <alignment horizontal="center"/>
    </xf>
    <xf numFmtId="177" fontId="44" fillId="0" borderId="0" xfId="0" applyNumberFormat="1" applyFont="1" applyFill="1" applyAlignment="1">
      <alignment/>
    </xf>
    <xf numFmtId="167" fontId="48" fillId="0" borderId="18" xfId="0" applyNumberFormat="1" applyFont="1" applyFill="1" applyBorder="1" applyAlignment="1" applyProtection="1">
      <alignment horizontal="left" vertical="center" wrapText="1"/>
      <protection/>
    </xf>
    <xf numFmtId="0" fontId="41" fillId="0" borderId="0" xfId="0" applyFont="1" applyFill="1" applyAlignment="1" applyProtection="1">
      <alignment horizontal="center" vertical="center"/>
      <protection/>
    </xf>
    <xf numFmtId="0" fontId="45" fillId="0" borderId="0" xfId="0" applyFont="1" applyFill="1" applyAlignment="1" applyProtection="1">
      <alignment/>
      <protection locked="0"/>
    </xf>
    <xf numFmtId="1" fontId="36" fillId="0" borderId="18" xfId="0" applyNumberFormat="1" applyFont="1" applyBorder="1" applyAlignment="1" applyProtection="1">
      <alignment horizontal="right" vertical="center"/>
      <protection/>
    </xf>
    <xf numFmtId="0" fontId="25" fillId="18" borderId="30" xfId="54" applyNumberFormat="1" applyFill="1" applyBorder="1" applyAlignment="1" applyProtection="1">
      <alignment vertical="center"/>
      <protection/>
    </xf>
    <xf numFmtId="0" fontId="25" fillId="18" borderId="25" xfId="54" applyFont="1" applyFill="1" applyBorder="1" applyAlignment="1" applyProtection="1">
      <alignment vertical="center"/>
      <protection/>
    </xf>
    <xf numFmtId="0" fontId="25" fillId="18" borderId="25" xfId="54" applyFill="1" applyBorder="1" applyAlignment="1" applyProtection="1">
      <alignment vertical="center"/>
      <protection/>
    </xf>
    <xf numFmtId="180" fontId="1" fillId="20" borderId="18" xfId="0" applyNumberFormat="1" applyFont="1" applyFill="1" applyBorder="1" applyAlignment="1" applyProtection="1">
      <alignment vertical="center"/>
      <protection locked="0"/>
    </xf>
    <xf numFmtId="177" fontId="36" fillId="20" borderId="18" xfId="0" applyNumberFormat="1" applyFont="1" applyFill="1" applyBorder="1" applyAlignment="1" applyProtection="1">
      <alignment vertical="center"/>
      <protection locked="0"/>
    </xf>
    <xf numFmtId="166" fontId="1" fillId="20" borderId="18" xfId="0" applyNumberFormat="1" applyFont="1" applyFill="1" applyBorder="1" applyAlignment="1" applyProtection="1">
      <alignment vertical="center"/>
      <protection locked="0"/>
    </xf>
    <xf numFmtId="166" fontId="1" fillId="20" borderId="0" xfId="0" applyNumberFormat="1" applyFont="1" applyFill="1" applyBorder="1" applyAlignment="1" applyProtection="1">
      <alignment vertical="center"/>
      <protection locked="0"/>
    </xf>
    <xf numFmtId="166" fontId="1" fillId="20" borderId="0" xfId="0" applyNumberFormat="1" applyFont="1" applyFill="1" applyAlignment="1" applyProtection="1">
      <alignment vertical="center"/>
      <protection locked="0"/>
    </xf>
    <xf numFmtId="177" fontId="39" fillId="20" borderId="18" xfId="0" applyNumberFormat="1" applyFont="1" applyFill="1" applyBorder="1" applyAlignment="1" applyProtection="1">
      <alignment vertical="center"/>
      <protection locked="0"/>
    </xf>
    <xf numFmtId="180" fontId="36" fillId="20" borderId="18" xfId="0" applyNumberFormat="1" applyFont="1" applyFill="1" applyBorder="1" applyAlignment="1" applyProtection="1">
      <alignment vertical="center"/>
      <protection locked="0"/>
    </xf>
    <xf numFmtId="0" fontId="50" fillId="0" borderId="0" xfId="66" applyFont="1" applyFill="1" applyBorder="1" applyAlignment="1" applyProtection="1">
      <alignment vertical="center"/>
      <protection/>
    </xf>
    <xf numFmtId="0" fontId="0" fillId="0" borderId="28" xfId="66" applyFont="1" applyBorder="1" applyAlignment="1" applyProtection="1">
      <alignment vertical="center" wrapText="1"/>
      <protection/>
    </xf>
    <xf numFmtId="176" fontId="20" fillId="0" borderId="0" xfId="0" applyNumberFormat="1" applyFont="1" applyAlignment="1">
      <alignment/>
    </xf>
    <xf numFmtId="0" fontId="40" fillId="0" borderId="0" xfId="0" applyFont="1" applyFill="1" applyAlignment="1" applyProtection="1">
      <alignment horizontal="center" vertical="center"/>
      <protection locked="0"/>
    </xf>
    <xf numFmtId="0" fontId="25" fillId="17" borderId="18" xfId="54" applyNumberFormat="1" applyFont="1" applyFill="1" applyBorder="1" applyAlignment="1" applyProtection="1">
      <alignment horizontal="left" vertical="center"/>
      <protection/>
    </xf>
    <xf numFmtId="3" fontId="1" fillId="16" borderId="0" xfId="0" applyNumberFormat="1" applyFont="1" applyFill="1" applyBorder="1" applyAlignment="1" applyProtection="1">
      <alignment horizontal="center" vertical="center"/>
      <protection/>
    </xf>
    <xf numFmtId="3" fontId="1" fillId="21" borderId="0" xfId="0" applyNumberFormat="1" applyFont="1" applyFill="1" applyBorder="1" applyAlignment="1" applyProtection="1">
      <alignment horizontal="center" vertical="center"/>
      <protection/>
    </xf>
    <xf numFmtId="0" fontId="61" fillId="0" borderId="0" xfId="66" applyFont="1" applyFill="1" applyBorder="1" applyAlignment="1" applyProtection="1">
      <alignment vertical="center"/>
      <protection/>
    </xf>
    <xf numFmtId="3" fontId="1" fillId="21" borderId="0" xfId="0" applyNumberFormat="1" applyFont="1" applyFill="1" applyAlignment="1" applyProtection="1">
      <alignment horizontal="center" vertical="center"/>
      <protection/>
    </xf>
    <xf numFmtId="0" fontId="62" fillId="0" borderId="0" xfId="0" applyFont="1" applyFill="1" applyBorder="1" applyAlignment="1" applyProtection="1">
      <alignment/>
      <protection/>
    </xf>
    <xf numFmtId="170" fontId="63" fillId="0" borderId="11" xfId="0" applyNumberFormat="1" applyFont="1" applyBorder="1" applyAlignment="1" applyProtection="1">
      <alignment horizontal="right"/>
      <protection/>
    </xf>
    <xf numFmtId="0" fontId="64" fillId="0" borderId="0" xfId="0" applyFont="1" applyFill="1" applyBorder="1" applyAlignment="1" applyProtection="1">
      <alignment/>
      <protection/>
    </xf>
    <xf numFmtId="0" fontId="62" fillId="0" borderId="0" xfId="66" applyNumberFormat="1" applyFont="1" applyFill="1" applyBorder="1" applyAlignment="1" applyProtection="1">
      <alignment horizontal="left" vertical="center"/>
      <protection/>
    </xf>
    <xf numFmtId="0" fontId="65" fillId="0" borderId="0" xfId="0" applyFont="1" applyFill="1" applyBorder="1" applyAlignment="1" applyProtection="1">
      <alignment/>
      <protection/>
    </xf>
    <xf numFmtId="0" fontId="62" fillId="0" borderId="0" xfId="66" applyFont="1" applyFill="1" applyBorder="1" applyAlignment="1" applyProtection="1">
      <alignment vertical="center"/>
      <protection/>
    </xf>
    <xf numFmtId="0" fontId="66" fillId="0" borderId="0" xfId="66" applyFont="1" applyFill="1" applyBorder="1" applyAlignment="1" applyProtection="1">
      <alignment vertical="center"/>
      <protection/>
    </xf>
    <xf numFmtId="0" fontId="61" fillId="0" borderId="0" xfId="66" applyFont="1" applyFill="1" applyAlignment="1" applyProtection="1">
      <alignment vertical="center"/>
      <protection/>
    </xf>
    <xf numFmtId="0" fontId="61" fillId="0" borderId="0" xfId="66" applyFont="1" applyAlignment="1" applyProtection="1">
      <alignment vertical="center"/>
      <protection/>
    </xf>
    <xf numFmtId="0" fontId="62" fillId="0" borderId="0" xfId="0" applyFont="1" applyFill="1" applyAlignment="1" applyProtection="1">
      <alignment/>
      <protection/>
    </xf>
    <xf numFmtId="0" fontId="61" fillId="16" borderId="0" xfId="66" applyFont="1" applyFill="1" applyAlignment="1" applyProtection="1">
      <alignment vertical="center"/>
      <protection/>
    </xf>
    <xf numFmtId="0" fontId="62" fillId="0" borderId="0" xfId="0" applyFont="1" applyBorder="1" applyAlignment="1" applyProtection="1">
      <alignment vertical="center"/>
      <protection/>
    </xf>
    <xf numFmtId="0" fontId="61" fillId="22" borderId="0" xfId="66" applyFont="1" applyFill="1" applyBorder="1" applyAlignment="1" applyProtection="1">
      <alignment vertical="center"/>
      <protection/>
    </xf>
    <xf numFmtId="3" fontId="36" fillId="21" borderId="0" xfId="0" applyNumberFormat="1" applyFont="1" applyFill="1" applyAlignment="1" applyProtection="1">
      <alignment horizontal="center" vertical="center"/>
      <protection/>
    </xf>
    <xf numFmtId="9" fontId="67" fillId="20" borderId="18" xfId="69" applyFont="1" applyFill="1" applyBorder="1" applyAlignment="1" applyProtection="1">
      <alignment vertical="center"/>
      <protection locked="0"/>
    </xf>
    <xf numFmtId="0" fontId="61" fillId="21" borderId="0" xfId="66" applyFont="1" applyFill="1" applyBorder="1" applyAlignment="1" applyProtection="1">
      <alignment vertical="center"/>
      <protection/>
    </xf>
    <xf numFmtId="177" fontId="44" fillId="0" borderId="0" xfId="0" applyNumberFormat="1" applyFont="1" applyAlignment="1" applyProtection="1">
      <alignment/>
      <protection locked="0"/>
    </xf>
    <xf numFmtId="177" fontId="0" fillId="0" borderId="0" xfId="0" applyNumberFormat="1" applyFont="1" applyFill="1" applyAlignment="1">
      <alignment/>
    </xf>
    <xf numFmtId="3" fontId="51" fillId="0" borderId="0" xfId="0" applyNumberFormat="1" applyFont="1" applyFill="1" applyBorder="1" applyAlignment="1" applyProtection="1">
      <alignment horizontal="center" vertical="center"/>
      <protection/>
    </xf>
    <xf numFmtId="0" fontId="0" fillId="0" borderId="0" xfId="0" applyAlignment="1" applyProtection="1">
      <alignment horizontal="center"/>
      <protection locked="0"/>
    </xf>
    <xf numFmtId="3" fontId="51" fillId="21" borderId="0" xfId="0" applyNumberFormat="1" applyFont="1" applyFill="1" applyBorder="1" applyAlignment="1" applyProtection="1">
      <alignment horizontal="center" vertical="center"/>
      <protection/>
    </xf>
    <xf numFmtId="3" fontId="36" fillId="21" borderId="0" xfId="0" applyNumberFormat="1" applyFont="1" applyFill="1" applyBorder="1" applyAlignment="1" applyProtection="1">
      <alignment horizontal="center" vertical="center"/>
      <protection/>
    </xf>
    <xf numFmtId="0" fontId="1" fillId="0" borderId="0" xfId="0" applyFont="1" applyAlignment="1">
      <alignment/>
    </xf>
    <xf numFmtId="0" fontId="1" fillId="0" borderId="0" xfId="0" applyFont="1" applyAlignment="1" applyProtection="1">
      <alignment horizontal="center"/>
      <protection/>
    </xf>
    <xf numFmtId="0" fontId="1" fillId="0" borderId="0" xfId="0" applyFont="1" applyAlignment="1" applyProtection="1">
      <alignment/>
      <protection/>
    </xf>
    <xf numFmtId="4" fontId="1" fillId="0" borderId="0" xfId="0" applyNumberFormat="1" applyFont="1" applyAlignment="1" applyProtection="1">
      <alignment/>
      <protection/>
    </xf>
    <xf numFmtId="2" fontId="0" fillId="0" borderId="0" xfId="0" applyNumberFormat="1" applyFont="1" applyAlignment="1">
      <alignment/>
    </xf>
    <xf numFmtId="4" fontId="31" fillId="0" borderId="0" xfId="0" applyNumberFormat="1" applyFont="1" applyAlignment="1" applyProtection="1">
      <alignment/>
      <protection/>
    </xf>
    <xf numFmtId="4" fontId="50" fillId="0" borderId="0" xfId="0" applyNumberFormat="1" applyFont="1" applyAlignment="1" applyProtection="1">
      <alignment/>
      <protection/>
    </xf>
    <xf numFmtId="0" fontId="50" fillId="0" borderId="0" xfId="0" applyFont="1" applyAlignment="1">
      <alignment/>
    </xf>
    <xf numFmtId="0" fontId="50" fillId="0" borderId="0" xfId="0" applyFont="1" applyAlignment="1" applyProtection="1">
      <alignment/>
      <protection/>
    </xf>
    <xf numFmtId="0" fontId="0" fillId="0" borderId="0" xfId="0" applyFont="1" applyAlignment="1" applyProtection="1">
      <alignment horizontal="left" vertical="center" wrapText="1"/>
      <protection/>
    </xf>
    <xf numFmtId="0" fontId="34" fillId="0" borderId="0" xfId="0" applyFont="1" applyAlignment="1" applyProtection="1">
      <alignment/>
      <protection/>
    </xf>
    <xf numFmtId="0" fontId="26" fillId="21" borderId="0" xfId="0" applyNumberFormat="1" applyFont="1" applyFill="1" applyBorder="1" applyAlignment="1" applyProtection="1">
      <alignment horizontal="center" vertical="center"/>
      <protection/>
    </xf>
    <xf numFmtId="0" fontId="34" fillId="0" borderId="0" xfId="0" applyFont="1" applyAlignment="1" applyProtection="1">
      <alignment/>
      <protection/>
    </xf>
    <xf numFmtId="0" fontId="35" fillId="0" borderId="0" xfId="0" applyFont="1" applyAlignment="1" applyProtection="1">
      <alignment horizontal="center"/>
      <protection/>
    </xf>
    <xf numFmtId="0" fontId="34" fillId="0" borderId="31" xfId="0" applyFont="1" applyBorder="1" applyAlignment="1" applyProtection="1">
      <alignment/>
      <protection/>
    </xf>
    <xf numFmtId="4" fontId="57" fillId="0" borderId="0" xfId="0" applyNumberFormat="1" applyFont="1" applyAlignment="1" applyProtection="1">
      <alignment/>
      <protection/>
    </xf>
    <xf numFmtId="0" fontId="31" fillId="0" borderId="0" xfId="0" applyFont="1" applyAlignment="1" applyProtection="1">
      <alignment/>
      <protection/>
    </xf>
    <xf numFmtId="0" fontId="1" fillId="0" borderId="0" xfId="0" applyFont="1" applyAlignment="1" applyProtection="1">
      <alignment wrapText="1"/>
      <protection/>
    </xf>
    <xf numFmtId="0" fontId="1" fillId="0" borderId="0" xfId="0" applyFont="1" applyBorder="1" applyAlignment="1" applyProtection="1">
      <alignment/>
      <protection/>
    </xf>
    <xf numFmtId="0" fontId="0" fillId="0" borderId="0" xfId="0" applyNumberFormat="1" applyFont="1" applyBorder="1" applyAlignment="1" applyProtection="1">
      <alignment/>
      <protection/>
    </xf>
    <xf numFmtId="0" fontId="31" fillId="0" borderId="31" xfId="0" applyFont="1" applyBorder="1" applyAlignment="1" applyProtection="1">
      <alignment/>
      <protection/>
    </xf>
    <xf numFmtId="0" fontId="1" fillId="0" borderId="0" xfId="0" applyFont="1" applyAlignment="1" applyProtection="1">
      <alignment horizontal="left"/>
      <protection/>
    </xf>
    <xf numFmtId="0" fontId="0" fillId="0" borderId="0" xfId="0" applyAlignment="1" applyProtection="1">
      <alignment wrapText="1"/>
      <protection/>
    </xf>
    <xf numFmtId="0" fontId="61" fillId="0" borderId="0" xfId="0" applyFont="1" applyAlignment="1" applyProtection="1">
      <alignment horizontal="center"/>
      <protection/>
    </xf>
    <xf numFmtId="9" fontId="31" fillId="0" borderId="0" xfId="70" applyFont="1" applyAlignment="1" applyProtection="1">
      <alignment/>
      <protection/>
    </xf>
    <xf numFmtId="0" fontId="68" fillId="0" borderId="0" xfId="0" applyFont="1" applyAlignment="1" applyProtection="1">
      <alignment/>
      <protection/>
    </xf>
    <xf numFmtId="9" fontId="68" fillId="0" borderId="0" xfId="70" applyFont="1" applyAlignment="1" applyProtection="1">
      <alignment/>
      <protection/>
    </xf>
    <xf numFmtId="4" fontId="68" fillId="0" borderId="0" xfId="0" applyNumberFormat="1" applyFont="1" applyAlignment="1" applyProtection="1">
      <alignment/>
      <protection/>
    </xf>
    <xf numFmtId="9" fontId="1" fillId="0" borderId="0" xfId="70" applyFont="1" applyAlignment="1" applyProtection="1">
      <alignment/>
      <protection/>
    </xf>
    <xf numFmtId="3" fontId="0" fillId="0" borderId="0" xfId="0" applyNumberFormat="1" applyFont="1" applyFill="1" applyBorder="1" applyAlignment="1" applyProtection="1">
      <alignment horizontal="left" vertical="center"/>
      <protection/>
    </xf>
    <xf numFmtId="0" fontId="0" fillId="0" borderId="0" xfId="0" applyFont="1" applyAlignment="1" applyProtection="1">
      <alignment horizontal="center"/>
      <protection/>
    </xf>
    <xf numFmtId="0" fontId="0" fillId="0" borderId="0" xfId="0" applyAlignment="1" applyProtection="1">
      <alignment horizontal="center"/>
      <protection/>
    </xf>
    <xf numFmtId="4" fontId="1" fillId="23" borderId="0" xfId="0" applyNumberFormat="1" applyFont="1" applyFill="1" applyAlignment="1" applyProtection="1">
      <alignment/>
      <protection locked="0"/>
    </xf>
    <xf numFmtId="0" fontId="35" fillId="0" borderId="0" xfId="0" applyFont="1" applyAlignment="1" applyProtection="1">
      <alignment/>
      <protection locked="0"/>
    </xf>
    <xf numFmtId="0" fontId="1" fillId="0" borderId="0" xfId="0" applyFont="1" applyAlignment="1" applyProtection="1">
      <alignment horizontal="center"/>
      <protection locked="0"/>
    </xf>
    <xf numFmtId="0" fontId="1" fillId="0" borderId="0" xfId="0" applyFont="1" applyAlignment="1" applyProtection="1">
      <alignment/>
      <protection locked="0"/>
    </xf>
    <xf numFmtId="4" fontId="1" fillId="0" borderId="0" xfId="0" applyNumberFormat="1" applyFont="1" applyAlignment="1" applyProtection="1">
      <alignment/>
      <protection locked="0"/>
    </xf>
    <xf numFmtId="0" fontId="0" fillId="0" borderId="0" xfId="0" applyAlignment="1" applyProtection="1">
      <alignment/>
      <protection locked="0"/>
    </xf>
    <xf numFmtId="0" fontId="62" fillId="0" borderId="0" xfId="0" applyFont="1" applyAlignment="1" applyProtection="1">
      <alignment/>
      <protection/>
    </xf>
    <xf numFmtId="0" fontId="62" fillId="0" borderId="0" xfId="0" applyFont="1" applyFill="1" applyAlignment="1" applyProtection="1">
      <alignment vertical="center"/>
      <protection/>
    </xf>
    <xf numFmtId="177" fontId="1" fillId="6" borderId="27" xfId="0" applyNumberFormat="1" applyFont="1" applyFill="1" applyBorder="1" applyAlignment="1" applyProtection="1">
      <alignment/>
      <protection/>
    </xf>
    <xf numFmtId="3" fontId="36" fillId="0" borderId="0" xfId="0" applyNumberFormat="1" applyFont="1" applyAlignment="1" applyProtection="1">
      <alignment horizontal="center" vertical="center"/>
      <protection/>
    </xf>
    <xf numFmtId="167" fontId="36" fillId="0" borderId="18" xfId="0" applyNumberFormat="1" applyFont="1" applyFill="1" applyBorder="1" applyAlignment="1" applyProtection="1">
      <alignment horizontal="right" vertical="center"/>
      <protection/>
    </xf>
    <xf numFmtId="167" fontId="1" fillId="0" borderId="18" xfId="0" applyNumberFormat="1" applyFont="1" applyFill="1" applyBorder="1" applyAlignment="1" applyProtection="1">
      <alignment horizontal="right" vertical="center"/>
      <protection/>
    </xf>
    <xf numFmtId="9" fontId="67" fillId="0" borderId="18" xfId="69" applyFont="1" applyBorder="1" applyAlignment="1" applyProtection="1">
      <alignment horizontal="left" vertical="center" wrapText="1"/>
      <protection/>
    </xf>
    <xf numFmtId="9" fontId="0" fillId="0" borderId="18" xfId="69" applyBorder="1" applyAlignment="1" applyProtection="1">
      <alignment horizontal="left" vertical="center"/>
      <protection/>
    </xf>
    <xf numFmtId="0" fontId="53" fillId="6" borderId="26" xfId="66" applyFont="1" applyFill="1" applyBorder="1" applyAlignment="1" applyProtection="1">
      <alignment vertical="center" wrapText="1"/>
      <protection/>
    </xf>
    <xf numFmtId="0" fontId="54" fillId="6" borderId="27" xfId="66" applyFont="1" applyFill="1" applyBorder="1" applyAlignment="1" applyProtection="1">
      <alignment vertical="center"/>
      <protection/>
    </xf>
    <xf numFmtId="2" fontId="54" fillId="6" borderId="27" xfId="0" applyNumberFormat="1" applyFont="1" applyFill="1" applyBorder="1" applyAlignment="1" applyProtection="1">
      <alignment vertical="center"/>
      <protection/>
    </xf>
    <xf numFmtId="177" fontId="54" fillId="6" borderId="27" xfId="0" applyNumberFormat="1" applyFont="1" applyFill="1" applyBorder="1" applyAlignment="1" applyProtection="1">
      <alignment vertical="center"/>
      <protection/>
    </xf>
    <xf numFmtId="176" fontId="53" fillId="6" borderId="22" xfId="0" applyNumberFormat="1" applyFont="1" applyFill="1" applyBorder="1" applyAlignment="1" applyProtection="1">
      <alignment vertical="center"/>
      <protection/>
    </xf>
    <xf numFmtId="167" fontId="0" fillId="6" borderId="27" xfId="0" applyNumberFormat="1" applyFill="1" applyBorder="1" applyAlignment="1" applyProtection="1">
      <alignment/>
      <protection/>
    </xf>
    <xf numFmtId="3" fontId="1" fillId="0" borderId="0" xfId="0" applyNumberFormat="1" applyFont="1" applyAlignment="1" applyProtection="1">
      <alignment horizontal="center" vertical="center"/>
      <protection/>
    </xf>
    <xf numFmtId="0" fontId="0" fillId="0" borderId="28" xfId="66" applyFont="1" applyBorder="1" applyAlignment="1" applyProtection="1">
      <alignment vertical="center" wrapText="1"/>
      <protection/>
    </xf>
    <xf numFmtId="10" fontId="0" fillId="24" borderId="9" xfId="69" applyNumberFormat="1" applyFill="1" applyBorder="1" applyAlignment="1" applyProtection="1">
      <alignment vertical="center"/>
      <protection locked="0"/>
    </xf>
    <xf numFmtId="180" fontId="1" fillId="20" borderId="18" xfId="0" applyNumberFormat="1" applyFont="1" applyFill="1" applyBorder="1" applyAlignment="1" applyProtection="1">
      <alignment vertical="center"/>
      <protection hidden="1" locked="0"/>
    </xf>
    <xf numFmtId="3" fontId="33" fillId="19" borderId="25" xfId="0" applyNumberFormat="1" applyFont="1" applyFill="1" applyBorder="1" applyAlignment="1" applyProtection="1">
      <alignment horizontal="left" vertical="center" wrapText="1"/>
      <protection/>
    </xf>
    <xf numFmtId="167" fontId="0" fillId="0" borderId="0" xfId="0" applyNumberFormat="1" applyFont="1" applyFill="1" applyBorder="1" applyAlignment="1" applyProtection="1">
      <alignment horizontal="left" vertical="top"/>
      <protection/>
    </xf>
    <xf numFmtId="167" fontId="0" fillId="0" borderId="0" xfId="0" applyNumberFormat="1" applyFill="1" applyBorder="1" applyAlignment="1" applyProtection="1">
      <alignment horizontal="left" vertical="top" wrapText="1"/>
      <protection/>
    </xf>
    <xf numFmtId="167" fontId="0" fillId="0" borderId="0" xfId="0" applyNumberFormat="1" applyFont="1" applyFill="1" applyBorder="1" applyAlignment="1" applyProtection="1">
      <alignment horizontal="left" vertical="top" wrapText="1"/>
      <protection/>
    </xf>
    <xf numFmtId="3" fontId="1" fillId="19" borderId="25" xfId="0" applyNumberFormat="1" applyFont="1" applyFill="1" applyBorder="1" applyAlignment="1" applyProtection="1">
      <alignment horizontal="left" vertical="center" wrapText="1"/>
      <protection/>
    </xf>
    <xf numFmtId="0" fontId="22" fillId="0" borderId="32" xfId="0" applyFont="1" applyBorder="1" applyAlignment="1" applyProtection="1">
      <alignment horizontal="center" vertical="center" wrapText="1"/>
      <protection/>
    </xf>
    <xf numFmtId="0" fontId="22" fillId="0" borderId="33" xfId="0" applyFont="1" applyBorder="1" applyAlignment="1" applyProtection="1">
      <alignment horizontal="center" vertical="center" wrapText="1"/>
      <protection/>
    </xf>
    <xf numFmtId="0" fontId="22" fillId="0" borderId="34" xfId="0" applyFont="1" applyBorder="1" applyAlignment="1" applyProtection="1">
      <alignment horizontal="center" vertical="center" wrapText="1"/>
      <protection/>
    </xf>
    <xf numFmtId="0" fontId="22" fillId="0" borderId="12" xfId="0" applyFont="1" applyBorder="1" applyAlignment="1" applyProtection="1">
      <alignment horizontal="left" vertical="center" wrapText="1"/>
      <protection/>
    </xf>
    <xf numFmtId="0" fontId="22" fillId="0" borderId="13" xfId="0" applyFont="1" applyBorder="1" applyAlignment="1" applyProtection="1">
      <alignment horizontal="left" vertical="center" wrapText="1"/>
      <protection/>
    </xf>
    <xf numFmtId="0" fontId="22" fillId="0" borderId="14" xfId="0" applyFont="1" applyBorder="1" applyAlignment="1" applyProtection="1">
      <alignment horizontal="left" vertical="center" wrapText="1"/>
      <protection/>
    </xf>
    <xf numFmtId="176" fontId="27" fillId="0" borderId="27" xfId="0" applyNumberFormat="1" applyFont="1" applyBorder="1" applyAlignment="1" applyProtection="1">
      <alignment horizontal="right"/>
      <protection/>
    </xf>
    <xf numFmtId="176" fontId="27" fillId="0" borderId="9" xfId="0" applyNumberFormat="1" applyFont="1" applyBorder="1" applyAlignment="1" applyProtection="1">
      <alignment horizontal="right"/>
      <protection/>
    </xf>
    <xf numFmtId="3" fontId="33" fillId="19" borderId="29" xfId="0" applyNumberFormat="1" applyFont="1" applyFill="1" applyBorder="1" applyAlignment="1" applyProtection="1">
      <alignment horizontal="left" vertical="center" wrapText="1"/>
      <protection/>
    </xf>
    <xf numFmtId="3" fontId="0" fillId="0" borderId="0" xfId="0" applyNumberFormat="1" applyFill="1" applyBorder="1" applyAlignment="1" applyProtection="1">
      <alignment horizontal="left" vertical="center" wrapText="1"/>
      <protection/>
    </xf>
    <xf numFmtId="3" fontId="0" fillId="0" borderId="0" xfId="0" applyNumberFormat="1" applyFont="1" applyFill="1" applyBorder="1" applyAlignment="1" applyProtection="1">
      <alignment horizontal="left" vertical="center" wrapText="1"/>
      <protection/>
    </xf>
    <xf numFmtId="0" fontId="25" fillId="18" borderId="25" xfId="54" applyNumberFormat="1" applyFill="1" applyBorder="1" applyAlignment="1" applyProtection="1">
      <alignment vertical="center"/>
      <protection/>
    </xf>
    <xf numFmtId="0" fontId="1" fillId="0" borderId="0" xfId="0" applyFont="1" applyAlignment="1" applyProtection="1">
      <alignment horizontal="justify"/>
      <protection/>
    </xf>
    <xf numFmtId="0" fontId="34" fillId="0" borderId="0" xfId="0" applyFont="1" applyAlignment="1" applyProtection="1">
      <alignment/>
      <protection/>
    </xf>
    <xf numFmtId="0" fontId="0" fillId="0" borderId="0" xfId="0" applyAlignment="1" applyProtection="1">
      <alignment/>
      <protection/>
    </xf>
    <xf numFmtId="3" fontId="0" fillId="0" borderId="0" xfId="0" applyNumberFormat="1" applyFont="1" applyFill="1" applyBorder="1" applyAlignment="1" applyProtection="1">
      <alignment horizontal="left" vertical="center"/>
      <protection/>
    </xf>
    <xf numFmtId="0" fontId="0" fillId="0" borderId="0" xfId="0" applyFont="1" applyAlignment="1" applyProtection="1">
      <alignment horizontal="left" vertical="center" wrapText="1"/>
      <protection/>
    </xf>
    <xf numFmtId="3" fontId="0" fillId="2" borderId="0" xfId="0" applyNumberFormat="1" applyFont="1" applyFill="1" applyBorder="1" applyAlignment="1" applyProtection="1">
      <alignment horizontal="left" vertical="center"/>
      <protection/>
    </xf>
  </cellXfs>
  <cellStyles count="78">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20% - Accent1" xfId="21"/>
    <cellStyle name="20% - Accent2" xfId="22"/>
    <cellStyle name="20% - Accent3" xfId="23"/>
    <cellStyle name="20% - Accent4" xfId="24"/>
    <cellStyle name="20% - Accent5" xfId="25"/>
    <cellStyle name="20% - Accent6" xfId="26"/>
    <cellStyle name="40 % – Zvýraznění1" xfId="27"/>
    <cellStyle name="40 % – Zvýraznění2" xfId="28"/>
    <cellStyle name="40 % – Zvýraznění3" xfId="29"/>
    <cellStyle name="40 % – Zvýraznění4" xfId="30"/>
    <cellStyle name="40 % – Zvýraznění5" xfId="31"/>
    <cellStyle name="40 % – Zvýraznění6" xfId="32"/>
    <cellStyle name="40% - Accent1" xfId="33"/>
    <cellStyle name="40% - Accent2" xfId="34"/>
    <cellStyle name="40% - Accent3" xfId="35"/>
    <cellStyle name="40% - Accent4" xfId="36"/>
    <cellStyle name="40% - Accent5" xfId="37"/>
    <cellStyle name="40% - Accent6" xfId="38"/>
    <cellStyle name="60 % – Zvýraznění1" xfId="39"/>
    <cellStyle name="60 % – Zvýraznění2" xfId="40"/>
    <cellStyle name="60 % – Zvýraznění3" xfId="41"/>
    <cellStyle name="60 % – Zvýraznění4" xfId="42"/>
    <cellStyle name="60 % – Zvýraznění5" xfId="43"/>
    <cellStyle name="60 % – Zvýraznění6" xfId="44"/>
    <cellStyle name="60% - Accent1" xfId="45"/>
    <cellStyle name="60% - Accent2" xfId="46"/>
    <cellStyle name="60% - Accent3" xfId="47"/>
    <cellStyle name="60% - Accent4" xfId="48"/>
    <cellStyle name="60% - Accent5" xfId="49"/>
    <cellStyle name="60% - Accent6" xfId="50"/>
    <cellStyle name="Celkem" xfId="51"/>
    <cellStyle name="Comma" xfId="52"/>
    <cellStyle name="Comma [0]" xfId="53"/>
    <cellStyle name="Hyperlink" xfId="54"/>
    <cellStyle name="Chybně" xfId="55"/>
    <cellStyle name="Kontrolní buňka" xfId="56"/>
    <cellStyle name="Currency" xfId="57"/>
    <cellStyle name="Currency [0]" xfId="58"/>
    <cellStyle name="Nadpis 1" xfId="59"/>
    <cellStyle name="Nadpis 2" xfId="60"/>
    <cellStyle name="Nadpis 3" xfId="61"/>
    <cellStyle name="Nadpis 4" xfId="62"/>
    <cellStyle name="Název" xfId="63"/>
    <cellStyle name="Neutrální" xfId="64"/>
    <cellStyle name="Normální 2" xfId="65"/>
    <cellStyle name="normální_BRILSTAR" xfId="66"/>
    <cellStyle name="Followed Hyperlink" xfId="67"/>
    <cellStyle name="Poznámka" xfId="68"/>
    <cellStyle name="Percent" xfId="69"/>
    <cellStyle name="Procenta 2" xfId="70"/>
    <cellStyle name="Propojená buňka" xfId="71"/>
    <cellStyle name="Správně" xfId="72"/>
    <cellStyle name="Špatně" xfId="73"/>
    <cellStyle name="TableStyleLight1" xfId="74"/>
    <cellStyle name="TableStyleLight1 2" xfId="75"/>
    <cellStyle name="TableStyleLight1 3" xfId="76"/>
    <cellStyle name="TableStyleLight1 4" xfId="77"/>
    <cellStyle name="Text upozornění" xfId="78"/>
    <cellStyle name="Title" xfId="79"/>
    <cellStyle name="Total" xfId="80"/>
    <cellStyle name="Vstup" xfId="81"/>
    <cellStyle name="Výpočet" xfId="82"/>
    <cellStyle name="Výstup" xfId="83"/>
    <cellStyle name="Vysvětlující text" xfId="84"/>
    <cellStyle name="Warning Text" xfId="85"/>
    <cellStyle name="Zvýraznění 1" xfId="86"/>
    <cellStyle name="Zvýraznění 2" xfId="87"/>
    <cellStyle name="Zvýraznění 3" xfId="88"/>
    <cellStyle name="Zvýraznění 4" xfId="89"/>
    <cellStyle name="Zvýraznění 5" xfId="90"/>
    <cellStyle name="Zvýraznění 6" xfId="91"/>
  </cellStyles>
  <dxfs count="4">
    <dxf>
      <fill>
        <patternFill patternType="none">
          <fgColor indexed="64"/>
          <bgColor indexed="65"/>
        </patternFill>
      </fill>
      <border>
        <left style="hair">
          <color indexed="8"/>
        </left>
        <right style="hair">
          <color indexed="8"/>
        </right>
        <top style="hair">
          <color indexed="8"/>
        </top>
        <bottom style="hair">
          <color indexed="8"/>
        </bottom>
      </border>
    </dxf>
    <dxf>
      <fill>
        <patternFill patternType="none">
          <fgColor indexed="64"/>
          <bgColor indexed="65"/>
        </patternFill>
      </fill>
      <border>
        <left style="hair">
          <color indexed="8"/>
        </left>
        <right style="hair">
          <color indexed="8"/>
        </right>
        <top style="hair">
          <color indexed="8"/>
        </top>
        <bottom style="hair">
          <color indexed="8"/>
        </bottom>
      </border>
    </dxf>
    <dxf>
      <fill>
        <patternFill patternType="none">
          <fgColor indexed="64"/>
          <bgColor indexed="65"/>
        </patternFill>
      </fill>
      <border>
        <left style="hair">
          <color indexed="8"/>
        </left>
        <right style="hair">
          <color indexed="8"/>
        </right>
        <top style="hair">
          <color indexed="8"/>
        </top>
        <bottom style="hair">
          <color indexed="8"/>
        </bottom>
      </border>
    </dxf>
    <dxf>
      <fill>
        <patternFill patternType="none">
          <fgColor indexed="64"/>
          <bgColor indexed="65"/>
        </patternFill>
      </fill>
      <border>
        <left style="hair">
          <color rgb="FF000000"/>
        </left>
        <right style="hair">
          <color rgb="FF000000"/>
        </right>
        <top style="hair"/>
        <bottom style="hair">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CCCC"/>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siko.cz/lista-ukoncovaci-l-hlinik-10-mm-250-cm-al10250/p/AL10250?gclid=EAIaIQobChMIsYDCpJ7F6QIVie3tCh0zFQanEAAYAyAAEgKzu_D_BwE" TargetMode="External" /><Relationship Id="rId2" Type="http://schemas.openxmlformats.org/officeDocument/2006/relationships/hyperlink" Target="https://www.siko.cz/lista-ukoncovaci-l-kartacovana-nerez-10-mm-250-cm-nrzk10250/p/NRZK10250" TargetMode="External" /><Relationship Id="rId3" Type="http://schemas.openxmlformats.org/officeDocument/2006/relationships/hyperlink" Target="https://www.truhlarstvipohan.cz/dvere-silvie/" TargetMode="External" /><Relationship Id="rId4" Type="http://schemas.openxmlformats.org/officeDocument/2006/relationships/hyperlink" Target="https://www.styltex.cz/produkt/pevna-sit-proti-hmyzu-64/#configurator" TargetMode="External" /><Relationship Id="rId5" Type="http://schemas.openxmlformats.org/officeDocument/2006/relationships/hyperlink" Target="https://www.svet-koupelny.cz/keramia-fresh/zoja-keramia-fresh-galerka-s-halogenovym-osvetlenim-60x60x14cm-dub-platin-lev-45027/aqualine/" TargetMode="External" /><Relationship Id="rId6" Type="http://schemas.openxmlformats.org/officeDocument/2006/relationships/hyperlink" Target="https://www.datart.cz/Vestavna-trouba-MORA-VT-433-BW.html?gclid=EAIaIQobChMIpMnpia_H6QIVGofVCh2towCrEAAYASAAEgKGBfD_BwE" TargetMode="External" /><Relationship Id="rId7" Type="http://schemas.openxmlformats.org/officeDocument/2006/relationships/hyperlink" Target="https://www.mall.cz/plynove-varne-desky/concept-pdv7460bc?gclid=EAIaIQobChMI0evMsq_H6QIVgYxRCh0KAAVIEAAYASAAEgLB8fD_BwE" TargetMode="External" /><Relationship Id="rId8" Type="http://schemas.openxmlformats.org/officeDocument/2006/relationships/hyperlink" Target="https://www.elektrocz.com/p272214-faber-maxima-touch-ev8-x-a60/" TargetMode="External" /><Relationship Id="rId9" Type="http://schemas.openxmlformats.org/officeDocument/2006/relationships/hyperlink" Target="https://online.ferona.cz/detail/42333/profil-nerovnoramenny-l-z-konstrukcni-oceli-valcovane-za-tepla-din-1029-l-100x75x7" TargetMode="External" /><Relationship Id="rId10" Type="http://schemas.openxmlformats.org/officeDocument/2006/relationships/hyperlink" Target="https://online.ferona.cz/detail/22304/profil-rovnoramenny-l-z-konstrukcni-oceli-valcovane-za-tepla-en-10056-l-50x50x4" TargetMode="External" /><Relationship Id="rId11" Type="http://schemas.openxmlformats.org/officeDocument/2006/relationships/hyperlink" Target="https://www.floorwood.cz/prechodova-lista-sroubovaci-obla-stribrna-e01/" TargetMode="External" /><Relationship Id="rId12" Type="http://schemas.openxmlformats.org/officeDocument/2006/relationships/hyperlink" Target="https://www.koupelny-venta.cz/alcaplast-sifon-pro-odkapavajici-kondenzat-podomitkovy-nerez-dn40-a-dn50-aks7/53886/produkt" TargetMode="External" /><Relationship Id="rId13" Type="http://schemas.openxmlformats.org/officeDocument/2006/relationships/hyperlink" Target="https://ok-levne.cz/hl138-podomitkovy-sifon-ke-klimatizacnim-jednotkam-dn32-100x100mm.html" TargetMode="External" /><Relationship Id="rId14" Type="http://schemas.openxmlformats.org/officeDocument/2006/relationships/hyperlink" Target="https://www.siko.cz/umyvadlo-jika-lyra-plus-60x49-cm-otvor-pro-baterii-uprostred-h8143830001041/p/1438.3.000.104.1" TargetMode="External" /><Relationship Id="rId15" Type="http://schemas.openxmlformats.org/officeDocument/2006/relationships/hyperlink" Target="https://www.siko.cz/umyvatko-jika-lyra-plus-45x37-cm-otvor-pro-baterii-uprostred-h8153820001041/p/1538.2.000.104.1" TargetMode="External" /><Relationship Id="rId16" Type="http://schemas.openxmlformats.org/officeDocument/2006/relationships/hyperlink" Target="https://www.siko.cz/sprchova-vanicka-ctvercova-ravak-chrome-90x90-cm-lity-mramor-xa047701010/p/PER90PROCHROM0" TargetMode="External" /><Relationship Id="rId17" Type="http://schemas.openxmlformats.org/officeDocument/2006/relationships/hyperlink" Target="https://www.ravak.cz/cz/sprchove-dvere-brilliant-bsd2~1" TargetMode="External" /><Relationship Id="rId18" Type="http://schemas.openxmlformats.org/officeDocument/2006/relationships/hyperlink" Target="https://www.multivac.cz/media/cache/file/a4/Cenik-2020-CZ-22_05.pdf" TargetMode="External" /><Relationship Id="rId19" Type="http://schemas.openxmlformats.org/officeDocument/2006/relationships/hyperlink" Target="https://www.multivac.cz/media/cache/file/a5/05_multi-plast.pdf" TargetMode="External" /><Relationship Id="rId20"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X489"/>
  <sheetViews>
    <sheetView showGridLines="0" tabSelected="1" zoomScaleSheetLayoutView="55" workbookViewId="0" topLeftCell="A43">
      <selection activeCell="J21" sqref="J21"/>
    </sheetView>
  </sheetViews>
  <sheetFormatPr defaultColWidth="9.00390625" defaultRowHeight="12.75"/>
  <cols>
    <col min="1" max="1" width="4.375" style="22" customWidth="1"/>
    <col min="2" max="2" width="15.125" style="225" hidden="1" customWidth="1"/>
    <col min="3" max="3" width="10.625" style="23" customWidth="1"/>
    <col min="4" max="4" width="53.375" style="30" customWidth="1"/>
    <col min="5" max="5" width="7.625" style="25" customWidth="1"/>
    <col min="6" max="6" width="10.625" style="146" bestFit="1" customWidth="1"/>
    <col min="7" max="7" width="12.625" style="29" customWidth="1"/>
    <col min="8" max="8" width="15.375" style="25" customWidth="1"/>
    <col min="9" max="9" width="17.00390625" style="28" customWidth="1"/>
    <col min="10" max="10" width="25.75390625" style="171" customWidth="1"/>
    <col min="11" max="11" width="12.125" style="3" hidden="1" customWidth="1"/>
    <col min="12" max="13" width="13.25390625" style="1" hidden="1" customWidth="1"/>
    <col min="14" max="14" width="11.00390625" style="1" hidden="1" customWidth="1"/>
    <col min="15" max="16" width="0" style="1" hidden="1" customWidth="1"/>
    <col min="17" max="17" width="11.25390625" style="1" hidden="1" customWidth="1"/>
    <col min="18" max="18" width="0" style="1" hidden="1" customWidth="1"/>
    <col min="19" max="16384" width="9.125" style="1" customWidth="1"/>
  </cols>
  <sheetData>
    <row r="2" spans="4:17" ht="12.75">
      <c r="D2" s="24"/>
      <c r="F2" s="145" t="s">
        <v>218</v>
      </c>
      <c r="G2" s="26" t="s">
        <v>219</v>
      </c>
      <c r="H2" s="27" t="s">
        <v>220</v>
      </c>
      <c r="J2" s="170" t="s">
        <v>403</v>
      </c>
      <c r="K2" s="17" t="s">
        <v>395</v>
      </c>
      <c r="L2" s="17" t="s">
        <v>396</v>
      </c>
      <c r="M2" s="17" t="s">
        <v>397</v>
      </c>
      <c r="N2" s="17" t="s">
        <v>397</v>
      </c>
      <c r="Q2" s="17" t="s">
        <v>239</v>
      </c>
    </row>
    <row r="3" spans="2:13" ht="12.75">
      <c r="B3" s="226" t="s">
        <v>116</v>
      </c>
      <c r="D3" s="24"/>
      <c r="K3" s="18"/>
      <c r="L3" s="18"/>
      <c r="M3" s="11"/>
    </row>
    <row r="4" spans="11:13" ht="12.75">
      <c r="K4" s="18"/>
      <c r="L4" s="18"/>
      <c r="M4" s="11"/>
    </row>
    <row r="5" spans="4:13" ht="44.25" customHeight="1">
      <c r="D5" s="308" t="s">
        <v>409</v>
      </c>
      <c r="E5" s="309"/>
      <c r="F5" s="309"/>
      <c r="G5" s="309"/>
      <c r="H5" s="310"/>
      <c r="K5" s="18"/>
      <c r="L5" s="18"/>
      <c r="M5" s="11"/>
    </row>
    <row r="6" spans="4:13" ht="37.5" customHeight="1">
      <c r="D6" s="311" t="s">
        <v>384</v>
      </c>
      <c r="E6" s="312"/>
      <c r="F6" s="312"/>
      <c r="G6" s="312"/>
      <c r="H6" s="313"/>
      <c r="K6" s="18"/>
      <c r="L6" s="18"/>
      <c r="M6" s="11"/>
    </row>
    <row r="7" spans="4:13" ht="12.75">
      <c r="D7" s="31"/>
      <c r="E7" s="32"/>
      <c r="F7" s="147"/>
      <c r="G7" s="33"/>
      <c r="H7" s="34"/>
      <c r="K7" s="18"/>
      <c r="L7" s="18"/>
      <c r="M7" s="11"/>
    </row>
    <row r="8" spans="4:13" ht="23.25">
      <c r="D8" s="35" t="s">
        <v>221</v>
      </c>
      <c r="E8" s="36"/>
      <c r="F8" s="148"/>
      <c r="G8" s="37"/>
      <c r="H8" s="38"/>
      <c r="K8" s="18"/>
      <c r="L8" s="18"/>
      <c r="M8" s="11"/>
    </row>
    <row r="9" spans="11:13" ht="12.75">
      <c r="K9" s="18"/>
      <c r="L9" s="18"/>
      <c r="M9" s="11"/>
    </row>
    <row r="10" spans="11:13" ht="12.75">
      <c r="K10" s="2"/>
      <c r="L10" s="2"/>
      <c r="M10" s="11"/>
    </row>
    <row r="11" spans="1:14" s="2" customFormat="1" ht="16.5">
      <c r="A11" s="39"/>
      <c r="B11" s="227"/>
      <c r="C11" s="40">
        <v>1</v>
      </c>
      <c r="D11" s="41" t="str">
        <f>Kapitola_1</f>
        <v>Přípravné a bourací práce</v>
      </c>
      <c r="E11" s="42"/>
      <c r="F11" s="149"/>
      <c r="G11" s="43"/>
      <c r="H11" s="43">
        <f>+Cena_1</f>
        <v>0</v>
      </c>
      <c r="I11" s="44"/>
      <c r="J11" s="172"/>
      <c r="K11" s="19">
        <f>SUMIF(I$82:I$117,"O",H$82:H$117)</f>
        <v>0</v>
      </c>
      <c r="L11" s="19">
        <f>SUMIF(I$82:I$117,"i",H$82:H$117)</f>
        <v>0</v>
      </c>
      <c r="M11" s="20">
        <f>SUM(K11:L11)</f>
        <v>0</v>
      </c>
      <c r="N11" s="218">
        <f>+H11-M11</f>
        <v>0</v>
      </c>
    </row>
    <row r="12" spans="1:14" s="2" customFormat="1" ht="16.5">
      <c r="A12" s="39"/>
      <c r="B12" s="227"/>
      <c r="C12" s="40">
        <v>2</v>
      </c>
      <c r="D12" s="41" t="str">
        <f>Kapitola_2</f>
        <v>Stavební úpravy bytové jednotky</v>
      </c>
      <c r="E12" s="42"/>
      <c r="F12" s="149"/>
      <c r="G12" s="43"/>
      <c r="H12" s="43">
        <f>SUM(G13:G19)</f>
        <v>0</v>
      </c>
      <c r="I12" s="44"/>
      <c r="J12" s="172"/>
      <c r="N12" s="218"/>
    </row>
    <row r="13" spans="1:14" s="2" customFormat="1" ht="16.5">
      <c r="A13" s="39"/>
      <c r="B13" s="227"/>
      <c r="C13" s="45" t="s">
        <v>254</v>
      </c>
      <c r="D13" s="41" t="str">
        <f>Kapitola_2a</f>
        <v>Stěny a příčky</v>
      </c>
      <c r="E13" s="42"/>
      <c r="F13" s="149"/>
      <c r="G13" s="43">
        <f>+Cena_2a</f>
        <v>0</v>
      </c>
      <c r="H13" s="43"/>
      <c r="I13" s="44"/>
      <c r="J13" s="172"/>
      <c r="K13" s="19">
        <f>SUMIF(I$122:I$142,"O",H$122:H$142)</f>
        <v>0</v>
      </c>
      <c r="L13" s="19">
        <f>SUMIF(I$122:I$142,"i",H$122:H$142)</f>
        <v>0</v>
      </c>
      <c r="M13" s="20">
        <f aca="true" t="shared" si="0" ref="M13:M19">SUM(K13:L13)</f>
        <v>0</v>
      </c>
      <c r="N13" s="218">
        <f aca="true" t="shared" si="1" ref="N13:N19">+G13-M13</f>
        <v>0</v>
      </c>
    </row>
    <row r="14" spans="1:14" s="2" customFormat="1" ht="16.5">
      <c r="A14" s="39"/>
      <c r="B14" s="227"/>
      <c r="C14" s="45" t="s">
        <v>255</v>
      </c>
      <c r="D14" s="41" t="str">
        <f>Kapitola_2b</f>
        <v>Stropy a stropní konstrukce a podhledy</v>
      </c>
      <c r="E14" s="42"/>
      <c r="F14" s="149"/>
      <c r="G14" s="43">
        <f>+Cena_2b</f>
        <v>0</v>
      </c>
      <c r="H14" s="43"/>
      <c r="I14" s="44"/>
      <c r="J14" s="172"/>
      <c r="K14" s="19">
        <f>SUMIF(I$147:I$163,"O",H$147:H$163)</f>
        <v>0</v>
      </c>
      <c r="L14" s="19">
        <f>SUMIF(I$147:I$163,"i",H$147:H$163)</f>
        <v>0</v>
      </c>
      <c r="M14" s="20">
        <f t="shared" si="0"/>
        <v>0</v>
      </c>
      <c r="N14" s="218">
        <f t="shared" si="1"/>
        <v>0</v>
      </c>
    </row>
    <row r="15" spans="1:14" s="2" customFormat="1" ht="16.5">
      <c r="A15" s="39"/>
      <c r="B15" s="227"/>
      <c r="C15" s="45" t="s">
        <v>256</v>
      </c>
      <c r="D15" s="41" t="str">
        <f>Kapitola_2c</f>
        <v>Úpravy povrchů vnitřní (stěny, stropy)</v>
      </c>
      <c r="E15" s="42"/>
      <c r="F15" s="149"/>
      <c r="G15" s="43">
        <f>+Cena_2c</f>
        <v>0</v>
      </c>
      <c r="H15" s="43"/>
      <c r="I15" s="44"/>
      <c r="J15" s="172"/>
      <c r="K15" s="19">
        <f>SUMIF(I$168:I$243,"O",H$168:H$243)</f>
        <v>0</v>
      </c>
      <c r="L15" s="19">
        <f>SUMIF(I$168:I$243,"i",H$168:H$243)</f>
        <v>0</v>
      </c>
      <c r="M15" s="20">
        <f t="shared" si="0"/>
        <v>0</v>
      </c>
      <c r="N15" s="218">
        <f t="shared" si="1"/>
        <v>0</v>
      </c>
    </row>
    <row r="16" spans="1:14" s="2" customFormat="1" ht="16.5">
      <c r="A16" s="39"/>
      <c r="B16" s="227"/>
      <c r="C16" s="47" t="s">
        <v>257</v>
      </c>
      <c r="D16" s="41" t="str">
        <f>Kapitola_2j</f>
        <v>Konstrukce truhlářské</v>
      </c>
      <c r="E16" s="42"/>
      <c r="F16" s="149"/>
      <c r="G16" s="43">
        <f>+Cena_2j</f>
        <v>0</v>
      </c>
      <c r="H16" s="43"/>
      <c r="I16" s="44"/>
      <c r="J16" s="172"/>
      <c r="K16" s="19">
        <f>SUMIF(I$248:I$276,"O",H$248:H$276)</f>
        <v>0</v>
      </c>
      <c r="L16" s="19">
        <f>SUMIF(I$248:I$276,"i",H$248:H$276)</f>
        <v>0</v>
      </c>
      <c r="M16" s="20">
        <f t="shared" si="0"/>
        <v>0</v>
      </c>
      <c r="N16" s="218">
        <f t="shared" si="1"/>
        <v>0</v>
      </c>
    </row>
    <row r="17" spans="1:14" s="2" customFormat="1" ht="16.5">
      <c r="A17" s="39"/>
      <c r="B17" s="227"/>
      <c r="C17" s="47" t="s">
        <v>258</v>
      </c>
      <c r="D17" s="41" t="str">
        <f>Kapitola_2k</f>
        <v>Konstrukce zámečnické</v>
      </c>
      <c r="E17" s="42"/>
      <c r="F17" s="149"/>
      <c r="G17" s="43">
        <f>+Cena_2k</f>
        <v>0</v>
      </c>
      <c r="H17" s="43"/>
      <c r="I17" s="44"/>
      <c r="J17" s="172"/>
      <c r="K17" s="19">
        <f>SUMIF(I$281:I$292,"O",H$281:H$292)</f>
        <v>0</v>
      </c>
      <c r="L17" s="19">
        <f>SUMIF(I$281:I$292,"i",H$281:H$292)</f>
        <v>0</v>
      </c>
      <c r="M17" s="20">
        <f t="shared" si="0"/>
        <v>0</v>
      </c>
      <c r="N17" s="218">
        <f t="shared" si="1"/>
        <v>0</v>
      </c>
    </row>
    <row r="18" spans="1:14" s="2" customFormat="1" ht="16.5">
      <c r="A18" s="39"/>
      <c r="B18" s="227"/>
      <c r="C18" s="47" t="s">
        <v>259</v>
      </c>
      <c r="D18" s="41" t="str">
        <f>Kapitola_2l</f>
        <v>Podlahy z dlaždic</v>
      </c>
      <c r="E18" s="42"/>
      <c r="F18" s="149"/>
      <c r="G18" s="43">
        <f>+Cena_2l</f>
        <v>0</v>
      </c>
      <c r="H18" s="43"/>
      <c r="I18" s="44"/>
      <c r="J18" s="172"/>
      <c r="K18" s="19">
        <f>SUMIF(I$297:I$315,"O",H$297:H$315)</f>
        <v>0</v>
      </c>
      <c r="L18" s="19">
        <f>SUMIF(I$297:I$315,"i",H$297:H$315)</f>
        <v>0</v>
      </c>
      <c r="M18" s="20">
        <f t="shared" si="0"/>
        <v>0</v>
      </c>
      <c r="N18" s="218">
        <f t="shared" si="1"/>
        <v>0</v>
      </c>
    </row>
    <row r="19" spans="1:14" s="2" customFormat="1" ht="16.5">
      <c r="A19" s="39"/>
      <c r="B19" s="227"/>
      <c r="C19" s="47" t="s">
        <v>260</v>
      </c>
      <c r="D19" s="41" t="str">
        <f>Kapitola_2m</f>
        <v>Podlahy dřevěné a povlakové</v>
      </c>
      <c r="E19" s="42"/>
      <c r="F19" s="149"/>
      <c r="G19" s="43">
        <f>+Cena_2m</f>
        <v>0</v>
      </c>
      <c r="H19" s="43"/>
      <c r="I19" s="44"/>
      <c r="J19" s="172"/>
      <c r="K19" s="19">
        <f>SUMIF(I$320:I$328,"O",H$320:H$328)</f>
        <v>0</v>
      </c>
      <c r="L19" s="19">
        <f>SUMIF(I$320:I$328,"i",H$320:H$328)</f>
        <v>0</v>
      </c>
      <c r="M19" s="20">
        <f t="shared" si="0"/>
        <v>0</v>
      </c>
      <c r="N19" s="218">
        <f t="shared" si="1"/>
        <v>0</v>
      </c>
    </row>
    <row r="20" spans="1:14" s="2" customFormat="1" ht="16.5">
      <c r="A20" s="39"/>
      <c r="B20" s="227"/>
      <c r="C20" s="40">
        <v>3</v>
      </c>
      <c r="D20" s="220" t="s">
        <v>59</v>
      </c>
      <c r="E20" s="42"/>
      <c r="F20" s="149"/>
      <c r="G20" s="43"/>
      <c r="H20" s="43">
        <f>SUM(G21:G27)</f>
        <v>0</v>
      </c>
      <c r="I20" s="44"/>
      <c r="J20" s="172"/>
      <c r="K20" s="19"/>
      <c r="L20" s="19"/>
      <c r="M20" s="20"/>
      <c r="N20" s="218"/>
    </row>
    <row r="21" spans="1:14" s="2" customFormat="1" ht="16.5">
      <c r="A21" s="39"/>
      <c r="B21" s="227"/>
      <c r="C21" s="45" t="s">
        <v>41</v>
      </c>
      <c r="D21" s="41" t="str">
        <f>+D331</f>
        <v>Zdravotechnika - demontáže</v>
      </c>
      <c r="E21" s="42"/>
      <c r="F21" s="149"/>
      <c r="G21" s="43">
        <f>+H346</f>
        <v>0</v>
      </c>
      <c r="H21" s="43"/>
      <c r="I21" s="44"/>
      <c r="J21" s="172"/>
      <c r="K21" s="19">
        <f>SUMIF(I$332:I$345,"O",H$332:H$345)</f>
        <v>0</v>
      </c>
      <c r="L21" s="19">
        <f>SUMIF(I$332:I$345,"i",H$332:H$345)</f>
        <v>0</v>
      </c>
      <c r="M21" s="20">
        <f aca="true" t="shared" si="2" ref="M21:M30">SUM(K21:L21)</f>
        <v>0</v>
      </c>
      <c r="N21" s="218">
        <f aca="true" t="shared" si="3" ref="N21:N27">+G21-M21</f>
        <v>0</v>
      </c>
    </row>
    <row r="22" spans="1:14" s="2" customFormat="1" ht="16.5">
      <c r="A22" s="39"/>
      <c r="B22" s="227"/>
      <c r="C22" s="45" t="s">
        <v>53</v>
      </c>
      <c r="D22" s="41" t="str">
        <f>Kapitola_2d</f>
        <v>Zdravotechnika - vnitřní kanalizace</v>
      </c>
      <c r="E22" s="42"/>
      <c r="F22" s="149"/>
      <c r="G22" s="43">
        <f>+Cena_2d</f>
        <v>0</v>
      </c>
      <c r="H22" s="43"/>
      <c r="I22" s="44"/>
      <c r="J22" s="172"/>
      <c r="K22" s="19">
        <f>SUMIF(I$350:I$364,"O",H$350:H$364)</f>
        <v>0</v>
      </c>
      <c r="L22" s="19">
        <f>SUMIF(I$350:I$364,"i",H$350:H$364)</f>
        <v>0</v>
      </c>
      <c r="M22" s="20">
        <f t="shared" si="2"/>
        <v>0</v>
      </c>
      <c r="N22" s="218">
        <f t="shared" si="3"/>
        <v>0</v>
      </c>
    </row>
    <row r="23" spans="1:14" s="2" customFormat="1" ht="16.5">
      <c r="A23" s="39"/>
      <c r="B23" s="227"/>
      <c r="C23" s="45" t="s">
        <v>54</v>
      </c>
      <c r="D23" s="41" t="str">
        <f>Kapitola_2e</f>
        <v>Zdravotechnika - vnitřní vodovod</v>
      </c>
      <c r="E23" s="42"/>
      <c r="F23" s="149"/>
      <c r="G23" s="43">
        <f>+Cena_2e</f>
        <v>0</v>
      </c>
      <c r="H23" s="43"/>
      <c r="I23" s="44"/>
      <c r="J23" s="172"/>
      <c r="K23" s="19">
        <f>SUMIF(I$369:I$379,"O",H$369:H$379)</f>
        <v>0</v>
      </c>
      <c r="L23" s="19">
        <f>SUMIF(I$369:I$379,"i",H$369:H$379)</f>
        <v>0</v>
      </c>
      <c r="M23" s="20">
        <f t="shared" si="2"/>
        <v>0</v>
      </c>
      <c r="N23" s="218">
        <f t="shared" si="3"/>
        <v>0</v>
      </c>
    </row>
    <row r="24" spans="1:14" s="2" customFormat="1" ht="16.5">
      <c r="A24" s="39"/>
      <c r="B24" s="227"/>
      <c r="C24" s="45" t="s">
        <v>55</v>
      </c>
      <c r="D24" s="41" t="str">
        <f>Kapitola_2f</f>
        <v>Zdravotechnika - zařizovací předměty, armatury </v>
      </c>
      <c r="E24" s="42"/>
      <c r="F24" s="149"/>
      <c r="G24" s="43">
        <f>+Cena_2f</f>
        <v>0</v>
      </c>
      <c r="H24" s="43"/>
      <c r="I24" s="44"/>
      <c r="J24" s="172"/>
      <c r="K24" s="19">
        <f>SUMIF(I$385:I$413,"O",H$385:H$413)</f>
        <v>0</v>
      </c>
      <c r="L24" s="19">
        <f>SUMIF(I$385:I$413,"i",H$385:H$413)</f>
        <v>0</v>
      </c>
      <c r="M24" s="20">
        <f t="shared" si="2"/>
        <v>0</v>
      </c>
      <c r="N24" s="218">
        <f t="shared" si="3"/>
        <v>0</v>
      </c>
    </row>
    <row r="25" spans="1:14" s="2" customFormat="1" ht="16.5">
      <c r="A25" s="39"/>
      <c r="B25" s="227"/>
      <c r="C25" s="45" t="s">
        <v>56</v>
      </c>
      <c r="D25" s="41" t="str">
        <f>Kapitola_2i</f>
        <v>Vzduchotechnika</v>
      </c>
      <c r="E25" s="42"/>
      <c r="F25" s="149"/>
      <c r="G25" s="43">
        <f>+Cena_2i</f>
        <v>0</v>
      </c>
      <c r="H25" s="43"/>
      <c r="I25" s="44"/>
      <c r="J25" s="172"/>
      <c r="K25" s="19">
        <f>SUMIF(I$418:I$439,"O",H$418:H$439)</f>
        <v>0</v>
      </c>
      <c r="L25" s="19">
        <f>SUMIF(I$418:I$439,"i",H$418:H$439)</f>
        <v>0</v>
      </c>
      <c r="M25" s="20">
        <f t="shared" si="2"/>
        <v>0</v>
      </c>
      <c r="N25" s="218">
        <f t="shared" si="3"/>
        <v>0</v>
      </c>
    </row>
    <row r="26" spans="1:14" s="2" customFormat="1" ht="16.5">
      <c r="A26" s="39"/>
      <c r="B26" s="227"/>
      <c r="C26" s="46" t="s">
        <v>57</v>
      </c>
      <c r="D26" s="41" t="str">
        <f>+D442</f>
        <v>Topení</v>
      </c>
      <c r="E26" s="42"/>
      <c r="F26" s="149"/>
      <c r="G26" s="43">
        <f>+H448</f>
        <v>0</v>
      </c>
      <c r="H26" s="43"/>
      <c r="I26" s="44"/>
      <c r="J26" s="172"/>
      <c r="K26" s="19">
        <f>SUMIF(I$444:I$447,"O",H$444:H$447)</f>
        <v>0</v>
      </c>
      <c r="L26" s="19">
        <f>SUMIF(I$444:I$447,"i",H$444:H$447)</f>
        <v>0</v>
      </c>
      <c r="M26" s="20">
        <f t="shared" si="2"/>
        <v>0</v>
      </c>
      <c r="N26" s="218">
        <f t="shared" si="3"/>
        <v>0</v>
      </c>
    </row>
    <row r="27" spans="1:14" s="2" customFormat="1" ht="16.5">
      <c r="A27" s="39"/>
      <c r="B27" s="227"/>
      <c r="C27" s="47" t="s">
        <v>58</v>
      </c>
      <c r="D27" s="41" t="str">
        <f>+D450</f>
        <v>Plyn</v>
      </c>
      <c r="E27" s="42"/>
      <c r="F27" s="149"/>
      <c r="G27" s="43">
        <f>+H470</f>
        <v>0</v>
      </c>
      <c r="H27" s="43"/>
      <c r="I27" s="203"/>
      <c r="J27" s="204"/>
      <c r="K27" s="19">
        <f>SUMIF(I$452:I$469,"O",H$452:H$469)</f>
        <v>0</v>
      </c>
      <c r="L27" s="19">
        <f>SUMIF(I$452:I$469,"i",H$452:H$469)</f>
        <v>0</v>
      </c>
      <c r="M27" s="20">
        <f t="shared" si="2"/>
        <v>0</v>
      </c>
      <c r="N27" s="218">
        <f t="shared" si="3"/>
        <v>0</v>
      </c>
    </row>
    <row r="28" spans="1:14" s="2" customFormat="1" ht="16.5">
      <c r="A28" s="39"/>
      <c r="B28" s="227"/>
      <c r="C28" s="40">
        <v>4</v>
      </c>
      <c r="D28" s="41" t="str">
        <f>Kapitola_2g</f>
        <v>Elektroinstalace - silnoproud </v>
      </c>
      <c r="E28" s="42"/>
      <c r="F28" s="149"/>
      <c r="G28" s="43"/>
      <c r="H28" s="43">
        <f>+Cena_2g</f>
        <v>0</v>
      </c>
      <c r="I28" s="44"/>
      <c r="J28" s="172"/>
      <c r="K28" s="19">
        <f>SUMIF(I$474:I$475,"O",H$474:H$475)</f>
        <v>0</v>
      </c>
      <c r="L28" s="19">
        <f>SUMIF(I$474:I$475,"i",H$474:H$475)</f>
        <v>0</v>
      </c>
      <c r="M28" s="20">
        <f t="shared" si="2"/>
        <v>0</v>
      </c>
      <c r="N28" s="218">
        <f>+H28-M28</f>
        <v>0</v>
      </c>
    </row>
    <row r="29" spans="1:14" s="2" customFormat="1" ht="16.5">
      <c r="A29" s="39"/>
      <c r="B29" s="227"/>
      <c r="C29" s="40">
        <v>5</v>
      </c>
      <c r="D29" s="41" t="str">
        <f>Kapitola_2h</f>
        <v>Elektroinstalace - slaboproud</v>
      </c>
      <c r="E29" s="42"/>
      <c r="F29" s="149"/>
      <c r="G29" s="43"/>
      <c r="H29" s="43">
        <f>+Cena_2h</f>
        <v>0</v>
      </c>
      <c r="I29" s="44"/>
      <c r="J29" s="172"/>
      <c r="K29" s="19">
        <f>SUMIF(I$480:I$481,"O",H$480:H$481)</f>
        <v>0</v>
      </c>
      <c r="L29" s="19">
        <f>SUMIF(I$480:I$481,"i",H$480:H$481)</f>
        <v>0</v>
      </c>
      <c r="M29" s="20">
        <f t="shared" si="2"/>
        <v>0</v>
      </c>
      <c r="N29" s="218">
        <f>+H29-M29</f>
        <v>0</v>
      </c>
    </row>
    <row r="30" spans="1:14" s="2" customFormat="1" ht="16.5">
      <c r="A30" s="39"/>
      <c r="B30" s="228"/>
      <c r="C30" s="40">
        <v>6</v>
      </c>
      <c r="D30" s="41" t="str">
        <f>Dokoncovaci_prace</f>
        <v>Dokončovací práce</v>
      </c>
      <c r="E30" s="42"/>
      <c r="F30" s="149"/>
      <c r="G30" s="43"/>
      <c r="H30" s="43">
        <f>Cena_dokoncovaci_prace</f>
        <v>0</v>
      </c>
      <c r="I30" s="44"/>
      <c r="J30" s="172"/>
      <c r="K30" s="19">
        <f>SUMIF(I$485:I$487,"O",H$485:H$487)</f>
        <v>0</v>
      </c>
      <c r="L30" s="19">
        <f>SUMIF(I$485:I$487,"i",H$485:H$487)</f>
        <v>0</v>
      </c>
      <c r="M30" s="20">
        <f t="shared" si="2"/>
        <v>0</v>
      </c>
      <c r="N30" s="218">
        <f>+H30-M30</f>
        <v>0</v>
      </c>
    </row>
    <row r="31" spans="4:13" ht="12.75">
      <c r="D31" s="48"/>
      <c r="E31" s="22"/>
      <c r="F31" s="150"/>
      <c r="G31" s="50"/>
      <c r="H31" s="50"/>
      <c r="K31" s="18"/>
      <c r="L31" s="18"/>
      <c r="M31" s="18"/>
    </row>
    <row r="32" spans="4:13" ht="15" customHeight="1">
      <c r="D32" s="51" t="s">
        <v>222</v>
      </c>
      <c r="E32" s="52"/>
      <c r="F32" s="151"/>
      <c r="G32" s="315">
        <f>SUM(H11:H30)</f>
        <v>0</v>
      </c>
      <c r="H32" s="315"/>
      <c r="K32" s="21">
        <f>SUM(K11:K31)</f>
        <v>0</v>
      </c>
      <c r="L32" s="21">
        <f>SUM(L11:L31)</f>
        <v>0</v>
      </c>
      <c r="M32" s="21">
        <f>SUM(K32:L32)</f>
        <v>0</v>
      </c>
    </row>
    <row r="33" spans="4:8" ht="12.75">
      <c r="D33" s="53"/>
      <c r="E33" s="52"/>
      <c r="F33" s="152"/>
      <c r="G33" s="54"/>
      <c r="H33" s="55"/>
    </row>
    <row r="34" spans="4:8" ht="12.75">
      <c r="D34" s="56" t="s">
        <v>223</v>
      </c>
      <c r="E34" s="52"/>
      <c r="F34" s="152"/>
      <c r="G34" s="57"/>
      <c r="H34" s="58">
        <f>+H35+H36</f>
        <v>0</v>
      </c>
    </row>
    <row r="35" spans="4:8" ht="12.75">
      <c r="D35" s="53" t="s">
        <v>224</v>
      </c>
      <c r="E35" s="52"/>
      <c r="F35" s="152"/>
      <c r="G35" s="301"/>
      <c r="H35" s="59">
        <f>ROUND($G$32*G35,0)</f>
        <v>0</v>
      </c>
    </row>
    <row r="36" spans="4:8" ht="12.75">
      <c r="D36" s="53" t="s">
        <v>353</v>
      </c>
      <c r="E36" s="52"/>
      <c r="F36" s="152"/>
      <c r="G36" s="301"/>
      <c r="H36" s="59">
        <f>ROUND($G$32*G36,0)</f>
        <v>0</v>
      </c>
    </row>
    <row r="37" spans="4:8" ht="13.5" thickBot="1">
      <c r="D37" s="60"/>
      <c r="E37" s="61"/>
      <c r="F37" s="153"/>
      <c r="G37" s="62"/>
      <c r="H37" s="50"/>
    </row>
    <row r="38" spans="4:8" ht="15.75" thickBot="1">
      <c r="D38" s="63" t="s">
        <v>364</v>
      </c>
      <c r="E38" s="64"/>
      <c r="F38" s="154"/>
      <c r="G38" s="65"/>
      <c r="H38" s="66">
        <f>+G32+H34</f>
        <v>0</v>
      </c>
    </row>
    <row r="39" spans="4:9" ht="12.75">
      <c r="D39" s="67"/>
      <c r="E39" s="68"/>
      <c r="F39" s="155"/>
      <c r="G39" s="69"/>
      <c r="H39" s="68"/>
      <c r="I39" s="70"/>
    </row>
    <row r="40" spans="4:9" ht="12.75">
      <c r="D40" s="53" t="s">
        <v>225</v>
      </c>
      <c r="E40" s="52"/>
      <c r="F40" s="152"/>
      <c r="G40" s="15">
        <v>0.15</v>
      </c>
      <c r="H40" s="59">
        <f>ROUND((G32+H35+H36)*G40,0)</f>
        <v>0</v>
      </c>
      <c r="I40" s="70"/>
    </row>
    <row r="41" spans="4:8" ht="12.75">
      <c r="D41" s="53" t="s">
        <v>225</v>
      </c>
      <c r="E41" s="52"/>
      <c r="F41" s="152"/>
      <c r="G41" s="15">
        <v>0.21</v>
      </c>
      <c r="H41" s="59">
        <v>0</v>
      </c>
    </row>
    <row r="42" spans="4:8" ht="13.5" thickBot="1">
      <c r="D42" s="71"/>
      <c r="E42" s="72"/>
      <c r="F42" s="156"/>
      <c r="G42" s="73"/>
      <c r="H42" s="72"/>
    </row>
    <row r="43" spans="4:8" ht="16.5" thickBot="1">
      <c r="D43" s="74" t="s">
        <v>226</v>
      </c>
      <c r="E43" s="72"/>
      <c r="F43" s="156"/>
      <c r="G43" s="314">
        <f>G32+H35+H36+H40+H41</f>
        <v>0</v>
      </c>
      <c r="H43" s="314"/>
    </row>
    <row r="46" spans="4:8" ht="15">
      <c r="D46" s="75" t="s">
        <v>358</v>
      </c>
      <c r="E46" s="76"/>
      <c r="F46" s="157"/>
      <c r="G46" s="76"/>
      <c r="H46" s="76"/>
    </row>
    <row r="47" spans="4:9" ht="12.75">
      <c r="D47" s="77" t="s">
        <v>359</v>
      </c>
      <c r="E47" s="78"/>
      <c r="F47" s="157"/>
      <c r="G47" s="76"/>
      <c r="H47" s="79">
        <f>+K32</f>
        <v>0</v>
      </c>
      <c r="I47" s="80" t="e">
        <f>+H47/G32</f>
        <v>#DIV/0!</v>
      </c>
    </row>
    <row r="48" spans="4:9" ht="12.75">
      <c r="D48" s="77" t="s">
        <v>360</v>
      </c>
      <c r="E48" s="78"/>
      <c r="F48" s="157"/>
      <c r="G48" s="76"/>
      <c r="H48" s="79">
        <f>+L32</f>
        <v>0</v>
      </c>
      <c r="I48" s="80" t="e">
        <f>+H48/G32</f>
        <v>#DIV/0!</v>
      </c>
    </row>
    <row r="49" spans="4:8" ht="12.75">
      <c r="D49" s="76"/>
      <c r="E49" s="76"/>
      <c r="F49" s="157"/>
      <c r="G49" s="76"/>
      <c r="H49" s="81"/>
    </row>
    <row r="50" spans="4:8" ht="15">
      <c r="D50" s="75" t="s">
        <v>361</v>
      </c>
      <c r="E50" s="76"/>
      <c r="F50" s="157"/>
      <c r="G50" s="76"/>
      <c r="H50" s="81"/>
    </row>
    <row r="51" spans="4:8" ht="12.75">
      <c r="D51" s="77" t="s">
        <v>359</v>
      </c>
      <c r="E51" s="78"/>
      <c r="F51" s="157"/>
      <c r="G51" s="76"/>
      <c r="H51" s="82" t="e">
        <f>+I47*H34</f>
        <v>#DIV/0!</v>
      </c>
    </row>
    <row r="52" spans="4:8" ht="12.75">
      <c r="D52" s="77" t="s">
        <v>360</v>
      </c>
      <c r="E52" s="78"/>
      <c r="F52" s="157"/>
      <c r="G52" s="76"/>
      <c r="H52" s="82" t="e">
        <f>+I48*H34</f>
        <v>#DIV/0!</v>
      </c>
    </row>
    <row r="53" spans="4:8" ht="12.75">
      <c r="D53" s="76"/>
      <c r="E53" s="76"/>
      <c r="F53" s="157"/>
      <c r="G53" s="76"/>
      <c r="H53" s="81"/>
    </row>
    <row r="54" spans="4:8" ht="15">
      <c r="D54" s="75" t="s">
        <v>362</v>
      </c>
      <c r="E54" s="76"/>
      <c r="F54" s="157"/>
      <c r="G54" s="76"/>
      <c r="H54" s="81"/>
    </row>
    <row r="55" spans="4:9" ht="12.75">
      <c r="D55" s="77" t="s">
        <v>359</v>
      </c>
      <c r="E55" s="78"/>
      <c r="F55" s="157"/>
      <c r="G55" s="76"/>
      <c r="H55" s="79" t="e">
        <f>+H47+H51</f>
        <v>#DIV/0!</v>
      </c>
      <c r="I55" s="80" t="e">
        <f>+H55/H38</f>
        <v>#DIV/0!</v>
      </c>
    </row>
    <row r="56" spans="4:9" ht="12.75">
      <c r="D56" s="77" t="s">
        <v>360</v>
      </c>
      <c r="E56" s="78"/>
      <c r="F56" s="157"/>
      <c r="G56" s="76"/>
      <c r="H56" s="79" t="e">
        <f>+H48+H52</f>
        <v>#DIV/0!</v>
      </c>
      <c r="I56" s="80" t="e">
        <f>+H56/H38</f>
        <v>#DIV/0!</v>
      </c>
    </row>
    <row r="58" spans="4:8" ht="18">
      <c r="D58" s="83" t="s">
        <v>263</v>
      </c>
      <c r="E58" s="22"/>
      <c r="F58" s="150"/>
      <c r="G58" s="49"/>
      <c r="H58" s="22"/>
    </row>
    <row r="59" ht="7.5" customHeight="1"/>
    <row r="60" ht="12.75">
      <c r="D60" s="84" t="s">
        <v>227</v>
      </c>
    </row>
    <row r="61" spans="4:8" ht="12.75">
      <c r="D61" s="85" t="s">
        <v>228</v>
      </c>
      <c r="E61" s="86"/>
      <c r="F61" s="158"/>
      <c r="G61" s="87"/>
      <c r="H61" s="86"/>
    </row>
    <row r="62" spans="4:8" ht="38.25" customHeight="1">
      <c r="D62" s="305" t="s">
        <v>266</v>
      </c>
      <c r="E62" s="306"/>
      <c r="F62" s="306"/>
      <c r="G62" s="306"/>
      <c r="H62" s="306"/>
    </row>
    <row r="63" spans="4:8" ht="12.75">
      <c r="D63" s="304" t="s">
        <v>229</v>
      </c>
      <c r="E63" s="304"/>
      <c r="F63" s="304"/>
      <c r="G63" s="304"/>
      <c r="H63" s="304"/>
    </row>
    <row r="64" spans="4:8" ht="38.25" customHeight="1">
      <c r="D64" s="305" t="s">
        <v>267</v>
      </c>
      <c r="E64" s="306"/>
      <c r="F64" s="306"/>
      <c r="G64" s="306"/>
      <c r="H64" s="306"/>
    </row>
    <row r="65" spans="4:8" ht="25.5" customHeight="1">
      <c r="D65" s="305" t="s">
        <v>268</v>
      </c>
      <c r="E65" s="306"/>
      <c r="F65" s="306"/>
      <c r="G65" s="306"/>
      <c r="H65" s="306"/>
    </row>
    <row r="66" spans="4:8" ht="12.75">
      <c r="D66" s="304" t="s">
        <v>230</v>
      </c>
      <c r="E66" s="304"/>
      <c r="F66" s="304"/>
      <c r="G66" s="304"/>
      <c r="H66" s="304"/>
    </row>
    <row r="67" spans="4:8" ht="12.75" customHeight="1">
      <c r="D67" s="305" t="s">
        <v>269</v>
      </c>
      <c r="E67" s="306"/>
      <c r="F67" s="306"/>
      <c r="G67" s="306"/>
      <c r="H67" s="306"/>
    </row>
    <row r="68" spans="4:8" ht="12.75" customHeight="1">
      <c r="D68" s="305" t="s">
        <v>270</v>
      </c>
      <c r="E68" s="306"/>
      <c r="F68" s="306"/>
      <c r="G68" s="306"/>
      <c r="H68" s="306"/>
    </row>
    <row r="69" spans="4:8" ht="39" customHeight="1">
      <c r="D69" s="317" t="s">
        <v>248</v>
      </c>
      <c r="E69" s="318"/>
      <c r="F69" s="318"/>
      <c r="G69" s="318"/>
      <c r="H69" s="318"/>
    </row>
    <row r="70" spans="1:11" s="4" customFormat="1" ht="9.75">
      <c r="A70" s="89"/>
      <c r="B70" s="229"/>
      <c r="C70" s="90"/>
      <c r="D70" s="91"/>
      <c r="E70" s="92"/>
      <c r="F70" s="159"/>
      <c r="G70" s="93"/>
      <c r="H70" s="92"/>
      <c r="I70" s="94"/>
      <c r="J70" s="173"/>
      <c r="K70" s="12"/>
    </row>
    <row r="71" spans="4:8" ht="38.25" customHeight="1">
      <c r="D71" s="306" t="s">
        <v>231</v>
      </c>
      <c r="E71" s="306"/>
      <c r="F71" s="306"/>
      <c r="G71" s="306"/>
      <c r="H71" s="306"/>
    </row>
    <row r="72" spans="1:11" s="4" customFormat="1" ht="7.5" customHeight="1">
      <c r="A72" s="89"/>
      <c r="B72" s="229"/>
      <c r="C72" s="90"/>
      <c r="D72" s="88"/>
      <c r="E72" s="88"/>
      <c r="F72" s="160"/>
      <c r="G72" s="88"/>
      <c r="H72" s="88"/>
      <c r="I72" s="94"/>
      <c r="J72" s="173"/>
      <c r="K72" s="12"/>
    </row>
    <row r="73" spans="4:8" ht="27.75" customHeight="1">
      <c r="D73" s="306" t="s">
        <v>232</v>
      </c>
      <c r="E73" s="306"/>
      <c r="F73" s="306"/>
      <c r="G73" s="306"/>
      <c r="H73" s="306"/>
    </row>
    <row r="74" spans="4:8" ht="26.25" customHeight="1">
      <c r="D74" s="88" t="s">
        <v>233</v>
      </c>
      <c r="E74" s="88"/>
      <c r="F74" s="160"/>
      <c r="G74" s="88"/>
      <c r="H74" s="88"/>
    </row>
    <row r="75" spans="4:8" ht="15.75" customHeight="1">
      <c r="D75" s="305" t="s">
        <v>264</v>
      </c>
      <c r="E75" s="305"/>
      <c r="F75" s="305"/>
      <c r="G75" s="305"/>
      <c r="H75" s="305"/>
    </row>
    <row r="76" spans="4:8" ht="93" customHeight="1">
      <c r="D76" s="320" t="s">
        <v>244</v>
      </c>
      <c r="E76" s="320"/>
      <c r="F76" s="320"/>
      <c r="G76" s="320"/>
      <c r="H76" s="320"/>
    </row>
    <row r="77" spans="5:8" ht="12.75">
      <c r="E77" s="95"/>
      <c r="F77" s="161"/>
      <c r="G77" s="96"/>
      <c r="H77" s="95"/>
    </row>
    <row r="78" spans="4:8" ht="12.75">
      <c r="D78" s="303" t="s">
        <v>251</v>
      </c>
      <c r="E78" s="307"/>
      <c r="F78" s="307"/>
      <c r="G78" s="307"/>
      <c r="H78" s="307"/>
    </row>
    <row r="79" spans="1:8" ht="14.25" customHeight="1">
      <c r="A79" s="97"/>
      <c r="B79" s="230"/>
      <c r="C79" s="98"/>
      <c r="D79" s="303" t="s">
        <v>250</v>
      </c>
      <c r="E79" s="307"/>
      <c r="F79" s="307"/>
      <c r="G79" s="307"/>
      <c r="H79" s="307"/>
    </row>
    <row r="80" spans="1:8" ht="7.5" customHeight="1">
      <c r="A80" s="97"/>
      <c r="B80" s="230"/>
      <c r="C80" s="99"/>
      <c r="D80" s="48"/>
      <c r="E80" s="22"/>
      <c r="F80" s="150"/>
      <c r="G80" s="100"/>
      <c r="H80" s="101"/>
    </row>
    <row r="81" spans="1:11" s="5" customFormat="1" ht="16.5">
      <c r="A81" s="102"/>
      <c r="B81" s="231"/>
      <c r="C81" s="103">
        <v>1</v>
      </c>
      <c r="D81" s="319" t="s">
        <v>366</v>
      </c>
      <c r="E81" s="319"/>
      <c r="F81" s="319"/>
      <c r="G81" s="319"/>
      <c r="H81" s="319"/>
      <c r="I81" s="105"/>
      <c r="J81" s="174"/>
      <c r="K81" s="8"/>
    </row>
    <row r="82" spans="1:18" ht="25.5">
      <c r="A82" s="106">
        <v>1</v>
      </c>
      <c r="B82" s="223"/>
      <c r="C82" s="107"/>
      <c r="D82" s="108" t="s">
        <v>106</v>
      </c>
      <c r="E82" s="109" t="s">
        <v>234</v>
      </c>
      <c r="F82" s="162">
        <v>1</v>
      </c>
      <c r="G82" s="190"/>
      <c r="H82" s="110">
        <f aca="true" t="shared" si="4" ref="H82:H91">F82*G82</f>
        <v>0</v>
      </c>
      <c r="I82" s="28" t="s">
        <v>357</v>
      </c>
      <c r="N82" s="3"/>
      <c r="Q82" s="13">
        <v>0.08</v>
      </c>
      <c r="R82" t="s">
        <v>474</v>
      </c>
    </row>
    <row r="83" spans="1:18" ht="12.75">
      <c r="A83" s="106">
        <f aca="true" t="shared" si="5" ref="A83:A91">A82+1</f>
        <v>2</v>
      </c>
      <c r="B83" s="223" t="s">
        <v>447</v>
      </c>
      <c r="C83" s="107"/>
      <c r="D83" s="108" t="s">
        <v>434</v>
      </c>
      <c r="E83" s="109" t="s">
        <v>237</v>
      </c>
      <c r="F83" s="162">
        <v>1</v>
      </c>
      <c r="G83" s="190"/>
      <c r="H83" s="110">
        <f>F83*G83</f>
        <v>0</v>
      </c>
      <c r="I83" s="28" t="s">
        <v>357</v>
      </c>
      <c r="N83" s="3"/>
      <c r="Q83" s="13">
        <v>0.067</v>
      </c>
      <c r="R83"/>
    </row>
    <row r="84" spans="1:18" ht="12.75">
      <c r="A84" s="106">
        <f t="shared" si="5"/>
        <v>3</v>
      </c>
      <c r="B84" s="223" t="s">
        <v>448</v>
      </c>
      <c r="C84" s="107"/>
      <c r="D84" s="108" t="s">
        <v>449</v>
      </c>
      <c r="E84" s="109" t="s">
        <v>234</v>
      </c>
      <c r="F84" s="162">
        <v>1</v>
      </c>
      <c r="G84" s="190"/>
      <c r="H84" s="110">
        <f t="shared" si="4"/>
        <v>0</v>
      </c>
      <c r="I84" s="28" t="s">
        <v>357</v>
      </c>
      <c r="N84" s="3"/>
      <c r="Q84" s="13">
        <v>0.028</v>
      </c>
      <c r="R84"/>
    </row>
    <row r="85" spans="1:18" ht="12.75">
      <c r="A85" s="106">
        <f t="shared" si="5"/>
        <v>4</v>
      </c>
      <c r="B85" s="223" t="s">
        <v>94</v>
      </c>
      <c r="C85" s="107"/>
      <c r="D85" s="108" t="s">
        <v>295</v>
      </c>
      <c r="E85" s="109" t="s">
        <v>237</v>
      </c>
      <c r="F85" s="162">
        <v>5</v>
      </c>
      <c r="G85" s="190"/>
      <c r="H85" s="110">
        <f t="shared" si="4"/>
        <v>0</v>
      </c>
      <c r="I85" s="28" t="s">
        <v>357</v>
      </c>
      <c r="N85" s="3"/>
      <c r="O85" s="1">
        <v>0.014</v>
      </c>
      <c r="P85" s="9">
        <f>+F85</f>
        <v>5</v>
      </c>
      <c r="Q85" s="9">
        <f>+O85*P85</f>
        <v>0.07</v>
      </c>
      <c r="R85" t="s">
        <v>474</v>
      </c>
    </row>
    <row r="86" spans="1:18" ht="28.5" customHeight="1">
      <c r="A86" s="106">
        <f t="shared" si="5"/>
        <v>5</v>
      </c>
      <c r="B86" s="223" t="s">
        <v>85</v>
      </c>
      <c r="C86" s="107"/>
      <c r="D86" s="108" t="s">
        <v>393</v>
      </c>
      <c r="E86" s="109" t="s">
        <v>237</v>
      </c>
      <c r="F86" s="162">
        <v>4</v>
      </c>
      <c r="G86" s="190"/>
      <c r="H86" s="110">
        <f t="shared" si="4"/>
        <v>0</v>
      </c>
      <c r="I86" s="70" t="s">
        <v>357</v>
      </c>
      <c r="N86" s="3"/>
      <c r="P86" s="9"/>
      <c r="Q86" s="9">
        <f>0.0176*F86</f>
        <v>0.0704</v>
      </c>
      <c r="R86"/>
    </row>
    <row r="87" spans="1:18" ht="12.75">
      <c r="A87" s="106">
        <f t="shared" si="5"/>
        <v>6</v>
      </c>
      <c r="B87" s="223" t="s">
        <v>450</v>
      </c>
      <c r="C87" s="107"/>
      <c r="D87" s="108" t="s">
        <v>435</v>
      </c>
      <c r="E87" s="109" t="s">
        <v>237</v>
      </c>
      <c r="F87" s="162">
        <v>2</v>
      </c>
      <c r="G87" s="190"/>
      <c r="H87" s="110">
        <f>F87*G87</f>
        <v>0</v>
      </c>
      <c r="I87" s="28" t="s">
        <v>357</v>
      </c>
      <c r="N87" s="3"/>
      <c r="P87" s="9"/>
      <c r="Q87" s="9">
        <f>0.088*F87</f>
        <v>0.176</v>
      </c>
      <c r="R87" t="s">
        <v>474</v>
      </c>
    </row>
    <row r="88" spans="1:18" ht="12.75">
      <c r="A88" s="106">
        <f t="shared" si="5"/>
        <v>7</v>
      </c>
      <c r="B88" s="223" t="s">
        <v>451</v>
      </c>
      <c r="C88" s="107"/>
      <c r="D88" s="111" t="s">
        <v>77</v>
      </c>
      <c r="E88" s="109" t="s">
        <v>234</v>
      </c>
      <c r="F88" s="162">
        <v>1</v>
      </c>
      <c r="G88" s="190"/>
      <c r="H88" s="110">
        <f>F88*G88</f>
        <v>0</v>
      </c>
      <c r="I88" s="70" t="s">
        <v>357</v>
      </c>
      <c r="N88" s="3"/>
      <c r="P88" s="9"/>
      <c r="Q88" s="9">
        <v>0.015</v>
      </c>
      <c r="R88"/>
    </row>
    <row r="89" spans="1:18" ht="25.5">
      <c r="A89" s="106">
        <f t="shared" si="5"/>
        <v>8</v>
      </c>
      <c r="B89" s="223" t="s">
        <v>452</v>
      </c>
      <c r="C89" s="222"/>
      <c r="D89" s="108" t="s">
        <v>712</v>
      </c>
      <c r="E89" s="109" t="s">
        <v>235</v>
      </c>
      <c r="F89" s="162">
        <f>F168</f>
        <v>96.16590000000001</v>
      </c>
      <c r="G89" s="190"/>
      <c r="H89" s="110">
        <f>F89*G89</f>
        <v>0</v>
      </c>
      <c r="I89" s="70" t="s">
        <v>357</v>
      </c>
      <c r="N89" s="3"/>
      <c r="Q89" s="9">
        <f>0.004*F89</f>
        <v>0.38466360000000005</v>
      </c>
      <c r="R89"/>
    </row>
    <row r="90" spans="1:18" ht="25.5">
      <c r="A90" s="106">
        <f t="shared" si="5"/>
        <v>9</v>
      </c>
      <c r="B90" s="223" t="s">
        <v>454</v>
      </c>
      <c r="C90" s="222"/>
      <c r="D90" s="108" t="s">
        <v>453</v>
      </c>
      <c r="E90" s="109" t="s">
        <v>235</v>
      </c>
      <c r="F90" s="162">
        <f>F174</f>
        <v>28.3</v>
      </c>
      <c r="G90" s="190"/>
      <c r="H90" s="110">
        <f>F90*G90</f>
        <v>0</v>
      </c>
      <c r="I90" s="70" t="s">
        <v>357</v>
      </c>
      <c r="N90" s="3"/>
      <c r="Q90" s="13">
        <f>0.004*F90</f>
        <v>0.11320000000000001</v>
      </c>
      <c r="R90"/>
    </row>
    <row r="91" spans="1:18" ht="13.5" customHeight="1">
      <c r="A91" s="106">
        <f t="shared" si="5"/>
        <v>10</v>
      </c>
      <c r="B91" s="223" t="s">
        <v>623</v>
      </c>
      <c r="C91" s="107"/>
      <c r="D91" s="108" t="s">
        <v>439</v>
      </c>
      <c r="E91" s="109" t="s">
        <v>235</v>
      </c>
      <c r="F91" s="162">
        <f>6.24*2+2.46*1.52</f>
        <v>16.2192</v>
      </c>
      <c r="G91" s="190"/>
      <c r="H91" s="110">
        <f t="shared" si="4"/>
        <v>0</v>
      </c>
      <c r="I91" s="70" t="s">
        <v>357</v>
      </c>
      <c r="N91" s="3"/>
      <c r="Q91" s="9">
        <f>0.068*F91</f>
        <v>1.1029056000000002</v>
      </c>
      <c r="R91"/>
    </row>
    <row r="92" spans="1:18" ht="12.75">
      <c r="A92" s="106">
        <f>A91+1</f>
        <v>11</v>
      </c>
      <c r="B92" s="223" t="s">
        <v>455</v>
      </c>
      <c r="C92" s="222"/>
      <c r="D92" s="108" t="s">
        <v>456</v>
      </c>
      <c r="E92" s="109" t="s">
        <v>235</v>
      </c>
      <c r="F92" s="162">
        <f>0.52*2.1+0.63*2.57+0.14*2.1</f>
        <v>3.0051</v>
      </c>
      <c r="G92" s="190"/>
      <c r="H92" s="110">
        <f>F92*G92</f>
        <v>0</v>
      </c>
      <c r="I92" s="70" t="s">
        <v>357</v>
      </c>
      <c r="N92" s="3">
        <v>0.1</v>
      </c>
      <c r="O92" s="1">
        <v>2.1</v>
      </c>
      <c r="P92" s="1">
        <f>+F92*N92</f>
        <v>0.30051000000000005</v>
      </c>
      <c r="Q92" s="9">
        <f>+O92*P92</f>
        <v>0.6310710000000002</v>
      </c>
      <c r="R92"/>
    </row>
    <row r="93" spans="1:18" ht="12.75">
      <c r="A93" s="106"/>
      <c r="B93" s="223"/>
      <c r="C93" s="107"/>
      <c r="D93" s="112" t="s">
        <v>410</v>
      </c>
      <c r="E93" s="109"/>
      <c r="F93" s="178"/>
      <c r="G93" s="190"/>
      <c r="H93" s="110"/>
      <c r="I93" s="70"/>
      <c r="N93" s="3"/>
      <c r="P93" s="3"/>
      <c r="Q93" s="9"/>
      <c r="R93"/>
    </row>
    <row r="94" spans="1:18" ht="12.75">
      <c r="A94" s="106">
        <f>A92+1</f>
        <v>12</v>
      </c>
      <c r="B94" s="223" t="s">
        <v>95</v>
      </c>
      <c r="C94" s="107"/>
      <c r="D94" s="108" t="s">
        <v>92</v>
      </c>
      <c r="E94" s="109" t="s">
        <v>235</v>
      </c>
      <c r="F94" s="162">
        <f>1.33*2.86</f>
        <v>3.8038</v>
      </c>
      <c r="G94" s="190"/>
      <c r="H94" s="110">
        <f>F94*G94</f>
        <v>0</v>
      </c>
      <c r="I94" s="70" t="s">
        <v>357</v>
      </c>
      <c r="N94" s="3"/>
      <c r="Q94" s="9">
        <f>0.1*F94</f>
        <v>0.38038</v>
      </c>
      <c r="R94"/>
    </row>
    <row r="95" spans="1:18" ht="12.75">
      <c r="A95" s="106"/>
      <c r="B95" s="223"/>
      <c r="C95" s="107"/>
      <c r="D95" s="112" t="s">
        <v>411</v>
      </c>
      <c r="E95" s="109"/>
      <c r="F95" s="162"/>
      <c r="G95" s="190"/>
      <c r="H95" s="110"/>
      <c r="I95" s="70"/>
      <c r="N95" s="3"/>
      <c r="P95" s="3"/>
      <c r="Q95" s="9"/>
      <c r="R95"/>
    </row>
    <row r="96" spans="1:18" ht="25.5">
      <c r="A96" s="106">
        <f>A94+1</f>
        <v>13</v>
      </c>
      <c r="B96" s="285" t="s">
        <v>713</v>
      </c>
      <c r="C96" s="107"/>
      <c r="D96" s="108" t="s">
        <v>714</v>
      </c>
      <c r="E96" s="109" t="s">
        <v>238</v>
      </c>
      <c r="F96" s="162">
        <f>0.65*3+0.1</f>
        <v>2.0500000000000003</v>
      </c>
      <c r="G96" s="190"/>
      <c r="H96" s="110">
        <f aca="true" t="shared" si="6" ref="H96:H107">F96*G96</f>
        <v>0</v>
      </c>
      <c r="I96" s="70" t="s">
        <v>357</v>
      </c>
      <c r="N96" s="3"/>
      <c r="P96" s="13"/>
      <c r="Q96" s="9">
        <f>0.00214*F96</f>
        <v>0.004387</v>
      </c>
      <c r="R96"/>
    </row>
    <row r="97" spans="1:18" ht="25.5">
      <c r="A97" s="106">
        <f>A96+1</f>
        <v>14</v>
      </c>
      <c r="B97" s="285" t="s">
        <v>624</v>
      </c>
      <c r="C97" s="107"/>
      <c r="D97" s="108" t="s">
        <v>715</v>
      </c>
      <c r="E97" s="109" t="s">
        <v>237</v>
      </c>
      <c r="F97" s="162">
        <v>1</v>
      </c>
      <c r="G97" s="190"/>
      <c r="H97" s="110">
        <f t="shared" si="6"/>
        <v>0</v>
      </c>
      <c r="I97" s="70" t="s">
        <v>363</v>
      </c>
      <c r="N97" s="3"/>
      <c r="P97" s="13"/>
      <c r="Q97" s="9">
        <f>0.54*F97</f>
        <v>0.54</v>
      </c>
      <c r="R97"/>
    </row>
    <row r="98" spans="1:18" ht="25.5">
      <c r="A98" s="106">
        <f>A96+1</f>
        <v>14</v>
      </c>
      <c r="B98" s="286" t="s">
        <v>86</v>
      </c>
      <c r="C98" s="107"/>
      <c r="D98" s="108" t="s">
        <v>87</v>
      </c>
      <c r="E98" s="109" t="s">
        <v>235</v>
      </c>
      <c r="F98" s="162">
        <v>3.57</v>
      </c>
      <c r="G98" s="190"/>
      <c r="H98" s="110">
        <f>F98*G98</f>
        <v>0</v>
      </c>
      <c r="I98" s="70" t="s">
        <v>357</v>
      </c>
      <c r="N98" s="3"/>
      <c r="O98" s="3"/>
      <c r="Q98" s="9">
        <f>0.02*F98</f>
        <v>0.0714</v>
      </c>
      <c r="R98"/>
    </row>
    <row r="99" spans="1:18" ht="12.75">
      <c r="A99" s="106">
        <f>A97+1</f>
        <v>15</v>
      </c>
      <c r="B99" s="223" t="s">
        <v>60</v>
      </c>
      <c r="C99" s="107"/>
      <c r="D99" s="108" t="s">
        <v>117</v>
      </c>
      <c r="E99" s="109" t="s">
        <v>235</v>
      </c>
      <c r="F99" s="162">
        <f>4.2+14.6+16.4+1.1</f>
        <v>36.300000000000004</v>
      </c>
      <c r="G99" s="190"/>
      <c r="H99" s="110">
        <f>F99*G99</f>
        <v>0</v>
      </c>
      <c r="I99" s="70" t="s">
        <v>357</v>
      </c>
      <c r="N99" s="3"/>
      <c r="O99" s="3"/>
      <c r="P99" s="3"/>
      <c r="Q99" s="9">
        <f>0.001*F99</f>
        <v>0.036300000000000006</v>
      </c>
      <c r="R99"/>
    </row>
    <row r="100" spans="1:18" ht="25.5">
      <c r="A100" s="106">
        <f>A99+1</f>
        <v>16</v>
      </c>
      <c r="B100" s="223" t="s">
        <v>458</v>
      </c>
      <c r="C100" s="107"/>
      <c r="D100" s="108" t="s">
        <v>457</v>
      </c>
      <c r="E100" s="109" t="s">
        <v>235</v>
      </c>
      <c r="F100" s="162">
        <f>F103</f>
        <v>3.6</v>
      </c>
      <c r="G100" s="190"/>
      <c r="H100" s="110">
        <f t="shared" si="6"/>
        <v>0</v>
      </c>
      <c r="I100" s="70" t="s">
        <v>357</v>
      </c>
      <c r="N100" s="3"/>
      <c r="O100" s="3"/>
      <c r="P100" s="13"/>
      <c r="Q100" s="13">
        <f>0.167*F100</f>
        <v>0.6012000000000001</v>
      </c>
      <c r="R100"/>
    </row>
    <row r="101" spans="1:18" ht="12.75">
      <c r="A101" s="106">
        <f>A100+1</f>
        <v>17</v>
      </c>
      <c r="B101" s="223"/>
      <c r="C101" s="107"/>
      <c r="D101" s="112" t="s">
        <v>413</v>
      </c>
      <c r="E101" s="178"/>
      <c r="F101" s="162"/>
      <c r="G101" s="190"/>
      <c r="H101" s="110"/>
      <c r="I101" s="70"/>
      <c r="N101" s="3"/>
      <c r="O101" s="3"/>
      <c r="P101" s="3"/>
      <c r="Q101" s="13"/>
      <c r="R101"/>
    </row>
    <row r="102" spans="1:18" ht="12.75">
      <c r="A102" s="106">
        <f>A101+1</f>
        <v>18</v>
      </c>
      <c r="B102" s="223" t="s">
        <v>589</v>
      </c>
      <c r="C102" s="243"/>
      <c r="D102" s="108" t="s">
        <v>19</v>
      </c>
      <c r="E102" s="109" t="s">
        <v>238</v>
      </c>
      <c r="F102" s="198">
        <f>17.68-0.8-0.9+16.94-0.7-2*0.9</f>
        <v>30.419999999999998</v>
      </c>
      <c r="G102" s="209"/>
      <c r="H102" s="110">
        <f>F102*G102</f>
        <v>0</v>
      </c>
      <c r="I102" s="200" t="s">
        <v>357</v>
      </c>
      <c r="J102" s="1"/>
      <c r="K102" s="1"/>
      <c r="Q102" s="1">
        <v>0.001</v>
      </c>
      <c r="R102" s="1" t="s">
        <v>474</v>
      </c>
    </row>
    <row r="103" spans="1:18" ht="38.25">
      <c r="A103" s="106">
        <f>A102+1</f>
        <v>19</v>
      </c>
      <c r="B103" s="223" t="s">
        <v>459</v>
      </c>
      <c r="C103" s="107"/>
      <c r="D103" s="111" t="s">
        <v>588</v>
      </c>
      <c r="E103" s="109" t="s">
        <v>235</v>
      </c>
      <c r="F103" s="162">
        <v>3.6</v>
      </c>
      <c r="G103" s="190"/>
      <c r="H103" s="110">
        <f>F103*G103</f>
        <v>0</v>
      </c>
      <c r="I103" s="70" t="s">
        <v>357</v>
      </c>
      <c r="J103" s="181"/>
      <c r="N103" s="3"/>
      <c r="O103" s="3"/>
      <c r="P103" s="3"/>
      <c r="Q103" s="13">
        <f>0.02*F103</f>
        <v>0.07200000000000001</v>
      </c>
      <c r="R103" t="s">
        <v>474</v>
      </c>
    </row>
    <row r="104" spans="1:18" ht="12.75">
      <c r="A104" s="106">
        <f aca="true" t="shared" si="7" ref="A104:A117">A103+1</f>
        <v>20</v>
      </c>
      <c r="B104" s="223" t="s">
        <v>461</v>
      </c>
      <c r="C104" s="222"/>
      <c r="D104" s="108" t="s">
        <v>460</v>
      </c>
      <c r="E104" s="109" t="s">
        <v>235</v>
      </c>
      <c r="F104" s="162">
        <f>3.6</f>
        <v>3.6</v>
      </c>
      <c r="G104" s="190"/>
      <c r="H104" s="110">
        <f t="shared" si="6"/>
        <v>0</v>
      </c>
      <c r="I104" s="70" t="s">
        <v>357</v>
      </c>
      <c r="N104" s="13"/>
      <c r="O104" s="3"/>
      <c r="P104" s="3"/>
      <c r="Q104" s="13">
        <f>0.018*F104</f>
        <v>0.0648</v>
      </c>
      <c r="R104" t="s">
        <v>474</v>
      </c>
    </row>
    <row r="105" spans="1:22" ht="38.25">
      <c r="A105" s="106">
        <f t="shared" si="7"/>
        <v>21</v>
      </c>
      <c r="B105" s="223"/>
      <c r="C105" s="107"/>
      <c r="D105" s="108" t="s">
        <v>462</v>
      </c>
      <c r="E105" s="109" t="s">
        <v>234</v>
      </c>
      <c r="F105" s="162">
        <v>1</v>
      </c>
      <c r="G105" s="190"/>
      <c r="H105" s="110">
        <f t="shared" si="6"/>
        <v>0</v>
      </c>
      <c r="I105" s="177" t="s">
        <v>357</v>
      </c>
      <c r="J105" s="182"/>
      <c r="K105" s="1"/>
      <c r="O105" s="3"/>
      <c r="R105" s="9"/>
      <c r="V105" s="183"/>
    </row>
    <row r="106" spans="1:22" ht="12.75">
      <c r="A106" s="106">
        <f t="shared" si="7"/>
        <v>22</v>
      </c>
      <c r="B106" s="223"/>
      <c r="C106" s="107"/>
      <c r="D106" s="108" t="s">
        <v>188</v>
      </c>
      <c r="E106" s="109" t="s">
        <v>234</v>
      </c>
      <c r="F106" s="162">
        <v>1</v>
      </c>
      <c r="G106" s="190"/>
      <c r="H106" s="110">
        <f t="shared" si="6"/>
        <v>0</v>
      </c>
      <c r="I106" s="177" t="s">
        <v>357</v>
      </c>
      <c r="J106" s="182"/>
      <c r="K106" s="1"/>
      <c r="O106" s="3"/>
      <c r="R106" s="9"/>
      <c r="V106" s="183"/>
    </row>
    <row r="107" spans="1:22" ht="25.5">
      <c r="A107" s="106">
        <f t="shared" si="7"/>
        <v>23</v>
      </c>
      <c r="B107" s="223"/>
      <c r="C107" s="107"/>
      <c r="D107" s="108" t="s">
        <v>189</v>
      </c>
      <c r="E107" s="109" t="s">
        <v>234</v>
      </c>
      <c r="F107" s="162">
        <v>1</v>
      </c>
      <c r="G107" s="190"/>
      <c r="H107" s="110">
        <f t="shared" si="6"/>
        <v>0</v>
      </c>
      <c r="I107" s="177" t="s">
        <v>357</v>
      </c>
      <c r="J107" s="182"/>
      <c r="K107" s="1"/>
      <c r="O107" s="3"/>
      <c r="R107" s="9"/>
      <c r="V107" s="183"/>
    </row>
    <row r="108" spans="1:11" ht="13.5" customHeight="1">
      <c r="A108" s="106">
        <f t="shared" si="7"/>
        <v>24</v>
      </c>
      <c r="B108" s="223"/>
      <c r="C108" s="245"/>
      <c r="D108" s="108" t="s">
        <v>190</v>
      </c>
      <c r="E108" s="109" t="s">
        <v>234</v>
      </c>
      <c r="F108" s="198">
        <v>1</v>
      </c>
      <c r="G108" s="209"/>
      <c r="H108" s="110">
        <f>F108*G108</f>
        <v>0</v>
      </c>
      <c r="I108" s="200" t="s">
        <v>357</v>
      </c>
      <c r="J108" s="1"/>
      <c r="K108" s="1"/>
    </row>
    <row r="109" spans="1:17" ht="12.75">
      <c r="A109" s="106">
        <f t="shared" si="7"/>
        <v>25</v>
      </c>
      <c r="B109" s="223" t="s">
        <v>93</v>
      </c>
      <c r="C109" s="107"/>
      <c r="D109" s="108" t="s">
        <v>347</v>
      </c>
      <c r="E109" s="109" t="s">
        <v>235</v>
      </c>
      <c r="F109" s="162">
        <f>1.49*1.88+1.47*1.87+0.5*0.72+0.61*1.1</f>
        <v>6.5811</v>
      </c>
      <c r="G109" s="190"/>
      <c r="H109" s="110">
        <f aca="true" t="shared" si="8" ref="H109:H117">F109*G109</f>
        <v>0</v>
      </c>
      <c r="I109" s="70" t="s">
        <v>357</v>
      </c>
      <c r="N109" s="3"/>
      <c r="Q109" s="9"/>
    </row>
    <row r="110" spans="1:18" ht="12.75">
      <c r="A110" s="106">
        <f t="shared" si="7"/>
        <v>26</v>
      </c>
      <c r="B110" s="223"/>
      <c r="C110" s="107"/>
      <c r="D110" s="108" t="s">
        <v>294</v>
      </c>
      <c r="E110" s="109" t="s">
        <v>239</v>
      </c>
      <c r="F110" s="162">
        <f>+Q110</f>
        <v>4.509707200000002</v>
      </c>
      <c r="G110" s="190"/>
      <c r="H110" s="110">
        <f t="shared" si="8"/>
        <v>0</v>
      </c>
      <c r="I110" s="70" t="s">
        <v>357</v>
      </c>
      <c r="N110" s="3"/>
      <c r="Q110" s="10">
        <f>SUM(Q82:Q109)</f>
        <v>4.509707200000002</v>
      </c>
      <c r="R110" s="2">
        <f>SUMIF(R$82:R$107,"d",Q$82:Q$107)</f>
        <v>0.4638</v>
      </c>
    </row>
    <row r="111" spans="1:18" ht="12.75">
      <c r="A111" s="106">
        <f t="shared" si="7"/>
        <v>27</v>
      </c>
      <c r="B111" s="223" t="s">
        <v>463</v>
      </c>
      <c r="C111" s="107"/>
      <c r="D111" s="108" t="s">
        <v>48</v>
      </c>
      <c r="E111" s="109" t="s">
        <v>239</v>
      </c>
      <c r="F111" s="162">
        <f>+F110</f>
        <v>4.509707200000002</v>
      </c>
      <c r="G111" s="209"/>
      <c r="H111" s="110">
        <f t="shared" si="8"/>
        <v>0</v>
      </c>
      <c r="I111" s="70" t="s">
        <v>357</v>
      </c>
      <c r="N111" s="3"/>
      <c r="Q111" s="10"/>
      <c r="R111" s="2"/>
    </row>
    <row r="112" spans="1:18" ht="12.75">
      <c r="A112" s="106">
        <f t="shared" si="7"/>
        <v>28</v>
      </c>
      <c r="B112" s="223" t="s">
        <v>464</v>
      </c>
      <c r="C112" s="107"/>
      <c r="D112" s="108" t="s">
        <v>465</v>
      </c>
      <c r="E112" s="109" t="s">
        <v>239</v>
      </c>
      <c r="F112" s="162">
        <f>F110</f>
        <v>4.509707200000002</v>
      </c>
      <c r="G112" s="209"/>
      <c r="H112" s="110">
        <f t="shared" si="8"/>
        <v>0</v>
      </c>
      <c r="I112" s="70" t="s">
        <v>357</v>
      </c>
      <c r="N112" s="3"/>
      <c r="Q112" s="10"/>
      <c r="R112" s="2"/>
    </row>
    <row r="113" spans="1:18" ht="12.75">
      <c r="A113" s="106">
        <f t="shared" si="7"/>
        <v>29</v>
      </c>
      <c r="B113" s="223" t="s">
        <v>466</v>
      </c>
      <c r="C113" s="107"/>
      <c r="D113" s="108" t="s">
        <v>467</v>
      </c>
      <c r="E113" s="109" t="s">
        <v>239</v>
      </c>
      <c r="F113" s="162">
        <f>F110</f>
        <v>4.509707200000002</v>
      </c>
      <c r="G113" s="190"/>
      <c r="H113" s="110">
        <f t="shared" si="8"/>
        <v>0</v>
      </c>
      <c r="I113" s="70" t="s">
        <v>357</v>
      </c>
      <c r="N113" s="3"/>
      <c r="Q113" s="10"/>
      <c r="R113" s="2"/>
    </row>
    <row r="114" spans="1:18" ht="12.75">
      <c r="A114" s="106">
        <f t="shared" si="7"/>
        <v>30</v>
      </c>
      <c r="B114" s="223" t="s">
        <v>468</v>
      </c>
      <c r="C114" s="107"/>
      <c r="D114" s="108" t="s">
        <v>469</v>
      </c>
      <c r="E114" s="109" t="s">
        <v>239</v>
      </c>
      <c r="F114" s="162">
        <f>F110</f>
        <v>4.509707200000002</v>
      </c>
      <c r="G114" s="190"/>
      <c r="H114" s="110">
        <f t="shared" si="8"/>
        <v>0</v>
      </c>
      <c r="I114" s="70" t="s">
        <v>357</v>
      </c>
      <c r="N114" s="3"/>
      <c r="Q114" s="10"/>
      <c r="R114" s="2"/>
    </row>
    <row r="115" spans="1:18" ht="12.75">
      <c r="A115" s="106">
        <f t="shared" si="7"/>
        <v>31</v>
      </c>
      <c r="B115" s="223" t="s">
        <v>470</v>
      </c>
      <c r="C115" s="107"/>
      <c r="D115" s="108" t="s">
        <v>471</v>
      </c>
      <c r="E115" s="109" t="s">
        <v>239</v>
      </c>
      <c r="F115" s="162">
        <f>Q110-R110</f>
        <v>4.045907200000002</v>
      </c>
      <c r="G115" s="190"/>
      <c r="H115" s="110">
        <f t="shared" si="8"/>
        <v>0</v>
      </c>
      <c r="I115" s="70" t="s">
        <v>357</v>
      </c>
      <c r="N115" s="3"/>
      <c r="Q115" s="10"/>
      <c r="R115" s="2"/>
    </row>
    <row r="116" spans="1:18" ht="12.75">
      <c r="A116" s="106">
        <f t="shared" si="7"/>
        <v>32</v>
      </c>
      <c r="B116" s="223" t="s">
        <v>473</v>
      </c>
      <c r="C116" s="107"/>
      <c r="D116" s="108" t="s">
        <v>472</v>
      </c>
      <c r="E116" s="109" t="s">
        <v>239</v>
      </c>
      <c r="F116" s="162">
        <f>R110</f>
        <v>0.4638</v>
      </c>
      <c r="G116" s="190"/>
      <c r="H116" s="110">
        <f t="shared" si="8"/>
        <v>0</v>
      </c>
      <c r="I116" s="70" t="s">
        <v>357</v>
      </c>
      <c r="N116" s="3"/>
      <c r="Q116" s="10"/>
      <c r="R116" s="2"/>
    </row>
    <row r="117" spans="1:9" ht="26.25" thickBot="1">
      <c r="A117" s="106">
        <f t="shared" si="7"/>
        <v>33</v>
      </c>
      <c r="B117" s="223"/>
      <c r="C117" s="107"/>
      <c r="D117" s="108" t="s">
        <v>293</v>
      </c>
      <c r="E117" s="109" t="s">
        <v>239</v>
      </c>
      <c r="F117" s="162">
        <f>+Q110</f>
        <v>4.509707200000002</v>
      </c>
      <c r="G117" s="190"/>
      <c r="H117" s="110">
        <f t="shared" si="8"/>
        <v>0</v>
      </c>
      <c r="I117" s="70" t="s">
        <v>357</v>
      </c>
    </row>
    <row r="118" spans="1:9" ht="13.5" thickBot="1">
      <c r="A118" s="106"/>
      <c r="B118" s="223"/>
      <c r="C118" s="107"/>
      <c r="D118" s="116" t="s">
        <v>236</v>
      </c>
      <c r="E118" s="117"/>
      <c r="F118" s="164"/>
      <c r="G118" s="287"/>
      <c r="H118" s="118">
        <f>SUBTOTAL(9,H82:H117)</f>
        <v>0</v>
      </c>
      <c r="I118" s="70"/>
    </row>
    <row r="119" spans="1:9" ht="12.75">
      <c r="A119" s="106"/>
      <c r="B119" s="223"/>
      <c r="C119" s="107"/>
      <c r="D119" s="119"/>
      <c r="E119" s="120"/>
      <c r="F119" s="150"/>
      <c r="G119" s="49"/>
      <c r="H119" s="121"/>
      <c r="I119" s="70"/>
    </row>
    <row r="120" spans="1:9" ht="16.5">
      <c r="A120" s="106"/>
      <c r="B120" s="223"/>
      <c r="C120" s="103" t="s">
        <v>245</v>
      </c>
      <c r="D120" s="104" t="s">
        <v>348</v>
      </c>
      <c r="E120" s="104"/>
      <c r="F120" s="168"/>
      <c r="G120" s="104"/>
      <c r="H120" s="104"/>
      <c r="I120" s="70"/>
    </row>
    <row r="121" spans="1:9" ht="16.5">
      <c r="A121" s="106"/>
      <c r="B121" s="223"/>
      <c r="C121" s="122" t="s">
        <v>254</v>
      </c>
      <c r="D121" s="104" t="s">
        <v>271</v>
      </c>
      <c r="E121" s="104"/>
      <c r="F121" s="168"/>
      <c r="G121" s="104"/>
      <c r="H121" s="104"/>
      <c r="I121" s="70"/>
    </row>
    <row r="122" spans="1:11" ht="51">
      <c r="A122" s="106">
        <f>+A117+1</f>
        <v>34</v>
      </c>
      <c r="B122" s="223" t="s">
        <v>96</v>
      </c>
      <c r="C122" s="107"/>
      <c r="D122" s="111" t="s">
        <v>97</v>
      </c>
      <c r="E122" s="114" t="s">
        <v>235</v>
      </c>
      <c r="F122" s="163">
        <f>+E123+E124</f>
        <v>19.883499999999998</v>
      </c>
      <c r="G122" s="190"/>
      <c r="H122" s="115">
        <f>F122*G122</f>
        <v>0</v>
      </c>
      <c r="I122" s="70" t="s">
        <v>363</v>
      </c>
      <c r="J122" s="175"/>
      <c r="K122" s="1"/>
    </row>
    <row r="123" spans="1:9" ht="12.75">
      <c r="A123" s="106"/>
      <c r="B123" s="223"/>
      <c r="C123" s="107"/>
      <c r="D123" s="112" t="s">
        <v>414</v>
      </c>
      <c r="E123" s="178">
        <f>+(2.05+0.5+1.8)*2.65</f>
        <v>11.527499999999998</v>
      </c>
      <c r="F123" s="162"/>
      <c r="G123" s="190"/>
      <c r="H123" s="110"/>
      <c r="I123" s="70"/>
    </row>
    <row r="124" spans="1:9" ht="12.75">
      <c r="A124" s="106"/>
      <c r="B124" s="223"/>
      <c r="C124" s="107"/>
      <c r="D124" s="112" t="s">
        <v>424</v>
      </c>
      <c r="E124" s="178">
        <f>0.9*2.5+1.53*2.7+(0.73+0.85)*1.25</f>
        <v>8.356</v>
      </c>
      <c r="F124" s="162"/>
      <c r="G124" s="190"/>
      <c r="H124" s="110"/>
      <c r="I124" s="70"/>
    </row>
    <row r="125" spans="1:11" ht="25.5">
      <c r="A125" s="106">
        <f>+A122+1</f>
        <v>35</v>
      </c>
      <c r="B125" s="223" t="s">
        <v>476</v>
      </c>
      <c r="C125" s="222"/>
      <c r="D125" s="111" t="s">
        <v>475</v>
      </c>
      <c r="E125" s="114" t="s">
        <v>235</v>
      </c>
      <c r="F125" s="162">
        <f>+(2.28*2.57)-0.9*2.15-0.8*2.15+0.1*2.15</f>
        <v>2.419599999999999</v>
      </c>
      <c r="G125" s="190"/>
      <c r="H125" s="115">
        <f>F125*G125</f>
        <v>0</v>
      </c>
      <c r="I125" s="70" t="s">
        <v>363</v>
      </c>
      <c r="J125" s="175"/>
      <c r="K125" s="1"/>
    </row>
    <row r="126" spans="1:11" ht="12.75">
      <c r="A126" s="106"/>
      <c r="B126" s="223"/>
      <c r="C126" s="107"/>
      <c r="D126" s="123" t="s">
        <v>422</v>
      </c>
      <c r="E126" s="109"/>
      <c r="F126" s="162"/>
      <c r="G126" s="190"/>
      <c r="H126" s="110"/>
      <c r="I126" s="70"/>
      <c r="J126" s="175"/>
      <c r="K126" s="6"/>
    </row>
    <row r="127" spans="1:11" ht="51">
      <c r="A127" s="106">
        <f>A125+1</f>
        <v>36</v>
      </c>
      <c r="B127" s="223" t="s">
        <v>477</v>
      </c>
      <c r="C127" s="222"/>
      <c r="D127" s="111" t="s">
        <v>716</v>
      </c>
      <c r="E127" s="114" t="s">
        <v>235</v>
      </c>
      <c r="F127" s="162">
        <f>0.5*2.1</f>
        <v>1.05</v>
      </c>
      <c r="G127" s="190"/>
      <c r="H127" s="115">
        <f aca="true" t="shared" si="9" ref="H127:H142">F127*G127</f>
        <v>0</v>
      </c>
      <c r="I127" s="70" t="s">
        <v>357</v>
      </c>
      <c r="J127" s="175"/>
      <c r="K127" s="1"/>
    </row>
    <row r="128" spans="1:11" ht="51">
      <c r="A128" s="113">
        <f aca="true" t="shared" si="10" ref="A128:A139">A127+1</f>
        <v>37</v>
      </c>
      <c r="B128" s="232" t="s">
        <v>478</v>
      </c>
      <c r="C128" s="107"/>
      <c r="D128" s="111" t="s">
        <v>98</v>
      </c>
      <c r="E128" s="109" t="s">
        <v>235</v>
      </c>
      <c r="F128" s="163">
        <f>0.9*0.9</f>
        <v>0.81</v>
      </c>
      <c r="G128" s="190"/>
      <c r="H128" s="115">
        <f t="shared" si="9"/>
        <v>0</v>
      </c>
      <c r="I128" s="177" t="s">
        <v>363</v>
      </c>
      <c r="J128" s="175"/>
      <c r="K128" s="6"/>
    </row>
    <row r="129" spans="1:22" ht="12.75">
      <c r="A129" s="113">
        <f t="shared" si="10"/>
        <v>38</v>
      </c>
      <c r="B129" s="232"/>
      <c r="C129" s="107"/>
      <c r="D129" s="111" t="s">
        <v>418</v>
      </c>
      <c r="E129" s="109" t="s">
        <v>234</v>
      </c>
      <c r="F129" s="162">
        <v>1</v>
      </c>
      <c r="G129" s="190"/>
      <c r="H129" s="115">
        <f t="shared" si="9"/>
        <v>0</v>
      </c>
      <c r="I129" s="177" t="s">
        <v>357</v>
      </c>
      <c r="J129" s="182"/>
      <c r="K129" s="1"/>
      <c r="O129" s="3"/>
      <c r="R129" s="9"/>
      <c r="V129" s="183"/>
    </row>
    <row r="130" spans="1:22" ht="12.75">
      <c r="A130" s="113">
        <f t="shared" si="10"/>
        <v>39</v>
      </c>
      <c r="B130" s="232" t="s">
        <v>483</v>
      </c>
      <c r="C130" s="107"/>
      <c r="D130" s="111" t="s">
        <v>482</v>
      </c>
      <c r="E130" s="109" t="s">
        <v>238</v>
      </c>
      <c r="F130" s="162">
        <v>2.8</v>
      </c>
      <c r="G130" s="190"/>
      <c r="H130" s="115">
        <f t="shared" si="9"/>
        <v>0</v>
      </c>
      <c r="I130" s="177" t="s">
        <v>363</v>
      </c>
      <c r="J130" s="182"/>
      <c r="K130" s="1"/>
      <c r="O130" s="3"/>
      <c r="R130" s="9"/>
      <c r="V130" s="183"/>
    </row>
    <row r="131" spans="1:10" ht="51">
      <c r="A131" s="113">
        <f t="shared" si="10"/>
        <v>40</v>
      </c>
      <c r="B131" s="233" t="s">
        <v>479</v>
      </c>
      <c r="C131" s="224" t="s">
        <v>717</v>
      </c>
      <c r="D131" s="111" t="s">
        <v>99</v>
      </c>
      <c r="E131" s="114" t="s">
        <v>235</v>
      </c>
      <c r="F131" s="163">
        <f>0.8*2.83</f>
        <v>2.2640000000000002</v>
      </c>
      <c r="G131" s="190"/>
      <c r="H131" s="115">
        <f t="shared" si="9"/>
        <v>0</v>
      </c>
      <c r="I131" s="28" t="s">
        <v>363</v>
      </c>
      <c r="J131" s="176"/>
    </row>
    <row r="132" spans="1:11" ht="51">
      <c r="A132" s="106">
        <f t="shared" si="10"/>
        <v>41</v>
      </c>
      <c r="B132" s="223" t="s">
        <v>480</v>
      </c>
      <c r="C132" s="222" t="s">
        <v>718</v>
      </c>
      <c r="D132" s="111" t="s">
        <v>118</v>
      </c>
      <c r="E132" s="114" t="s">
        <v>235</v>
      </c>
      <c r="F132" s="163">
        <f>2.71*2.88</f>
        <v>7.804799999999999</v>
      </c>
      <c r="G132" s="190"/>
      <c r="H132" s="110">
        <f t="shared" si="9"/>
        <v>0</v>
      </c>
      <c r="I132" s="70" t="s">
        <v>363</v>
      </c>
      <c r="K132" s="1"/>
    </row>
    <row r="133" spans="1:11" ht="12.75">
      <c r="A133" s="106">
        <f t="shared" si="10"/>
        <v>42</v>
      </c>
      <c r="B133" s="223" t="s">
        <v>119</v>
      </c>
      <c r="C133" s="222"/>
      <c r="D133" s="111" t="s">
        <v>120</v>
      </c>
      <c r="E133" s="109" t="s">
        <v>235</v>
      </c>
      <c r="F133" s="195">
        <f>+F131</f>
        <v>2.2640000000000002</v>
      </c>
      <c r="G133" s="209"/>
      <c r="H133" s="110">
        <f>F133*G133</f>
        <v>0</v>
      </c>
      <c r="I133" s="70" t="s">
        <v>363</v>
      </c>
      <c r="K133" s="1"/>
    </row>
    <row r="134" spans="1:11" ht="12.75">
      <c r="A134" s="106">
        <f t="shared" si="10"/>
        <v>43</v>
      </c>
      <c r="B134" s="223" t="s">
        <v>121</v>
      </c>
      <c r="C134" s="222"/>
      <c r="D134" s="108" t="s">
        <v>286</v>
      </c>
      <c r="E134" s="109" t="s">
        <v>235</v>
      </c>
      <c r="F134" s="195">
        <f>+F131+F132</f>
        <v>10.0688</v>
      </c>
      <c r="G134" s="190"/>
      <c r="H134" s="110">
        <f>F134*G134</f>
        <v>0</v>
      </c>
      <c r="I134" s="70" t="s">
        <v>363</v>
      </c>
      <c r="K134" s="1"/>
    </row>
    <row r="135" spans="1:11" ht="12.75">
      <c r="A135" s="106">
        <f t="shared" si="10"/>
        <v>44</v>
      </c>
      <c r="B135" s="223" t="s">
        <v>481</v>
      </c>
      <c r="C135" s="107"/>
      <c r="D135" s="108" t="s">
        <v>78</v>
      </c>
      <c r="E135" s="109" t="s">
        <v>238</v>
      </c>
      <c r="F135" s="195">
        <v>2.71</v>
      </c>
      <c r="G135" s="209"/>
      <c r="H135" s="110">
        <f>F135*G135</f>
        <v>0</v>
      </c>
      <c r="I135" s="70" t="s">
        <v>363</v>
      </c>
      <c r="K135" s="1"/>
    </row>
    <row r="136" spans="1:22" ht="12.75">
      <c r="A136" s="106">
        <f t="shared" si="10"/>
        <v>45</v>
      </c>
      <c r="B136" s="234"/>
      <c r="C136" s="288" t="s">
        <v>419</v>
      </c>
      <c r="D136" s="135" t="s">
        <v>192</v>
      </c>
      <c r="E136" s="136" t="s">
        <v>235</v>
      </c>
      <c r="F136" s="167">
        <f>(+F132*2+F131)*1.1</f>
        <v>19.660960000000003</v>
      </c>
      <c r="G136" s="210"/>
      <c r="H136" s="137">
        <f t="shared" si="9"/>
        <v>0</v>
      </c>
      <c r="I136" s="177" t="s">
        <v>363</v>
      </c>
      <c r="J136" s="184"/>
      <c r="K136" s="185"/>
      <c r="L136" s="185"/>
      <c r="M136" s="185"/>
      <c r="O136" s="6"/>
      <c r="R136" s="9"/>
      <c r="V136" s="183"/>
    </row>
    <row r="137" spans="1:22" ht="12.75">
      <c r="A137" s="106">
        <f t="shared" si="10"/>
        <v>46</v>
      </c>
      <c r="B137" s="232" t="s">
        <v>500</v>
      </c>
      <c r="C137" s="288"/>
      <c r="D137" s="111" t="s">
        <v>122</v>
      </c>
      <c r="E137" s="114" t="s">
        <v>235</v>
      </c>
      <c r="F137" s="162">
        <f>+F131+F132</f>
        <v>10.0688</v>
      </c>
      <c r="G137" s="190"/>
      <c r="H137" s="110">
        <f t="shared" si="9"/>
        <v>0</v>
      </c>
      <c r="I137" s="177" t="s">
        <v>363</v>
      </c>
      <c r="J137" s="184"/>
      <c r="K137" s="185"/>
      <c r="L137" s="185"/>
      <c r="M137" s="185"/>
      <c r="O137" s="6"/>
      <c r="R137" s="9"/>
      <c r="V137" s="183"/>
    </row>
    <row r="138" spans="1:22" ht="12.75">
      <c r="A138" s="25">
        <f>A137+1</f>
        <v>47</v>
      </c>
      <c r="B138" s="223" t="s">
        <v>484</v>
      </c>
      <c r="C138" s="107"/>
      <c r="D138" s="111" t="s">
        <v>32</v>
      </c>
      <c r="E138" s="114" t="s">
        <v>237</v>
      </c>
      <c r="F138" s="163">
        <v>1</v>
      </c>
      <c r="G138" s="190"/>
      <c r="H138" s="115">
        <f>F138*G138</f>
        <v>0</v>
      </c>
      <c r="I138" s="177" t="s">
        <v>363</v>
      </c>
      <c r="J138" s="184"/>
      <c r="K138" s="1"/>
      <c r="L138" s="185"/>
      <c r="M138" s="185"/>
      <c r="R138" s="9"/>
      <c r="V138" s="183"/>
    </row>
    <row r="139" spans="1:9" ht="12.75">
      <c r="A139" s="25">
        <f t="shared" si="10"/>
        <v>48</v>
      </c>
      <c r="B139" s="232" t="s">
        <v>75</v>
      </c>
      <c r="C139" s="107" t="s">
        <v>79</v>
      </c>
      <c r="D139" s="108" t="s">
        <v>204</v>
      </c>
      <c r="E139" s="109" t="s">
        <v>237</v>
      </c>
      <c r="F139" s="162">
        <f>+F140+F141</f>
        <v>2</v>
      </c>
      <c r="G139" s="190"/>
      <c r="H139" s="110">
        <f>F139*G139</f>
        <v>0</v>
      </c>
      <c r="I139" s="70" t="s">
        <v>363</v>
      </c>
    </row>
    <row r="140" spans="1:9" ht="38.25">
      <c r="A140" s="106">
        <f>A139+1</f>
        <v>49</v>
      </c>
      <c r="B140" s="223"/>
      <c r="C140" s="128" t="s">
        <v>378</v>
      </c>
      <c r="D140" s="129" t="s">
        <v>115</v>
      </c>
      <c r="E140" s="130" t="s">
        <v>237</v>
      </c>
      <c r="F140" s="166">
        <v>1</v>
      </c>
      <c r="G140" s="210"/>
      <c r="H140" s="131">
        <f>F140*G140</f>
        <v>0</v>
      </c>
      <c r="I140" s="70" t="s">
        <v>363</v>
      </c>
    </row>
    <row r="141" spans="1:9" ht="12.75">
      <c r="A141" s="106">
        <f>A140+1</f>
        <v>50</v>
      </c>
      <c r="B141" s="223"/>
      <c r="C141" s="128" t="s">
        <v>205</v>
      </c>
      <c r="D141" s="129" t="s">
        <v>485</v>
      </c>
      <c r="E141" s="130" t="s">
        <v>237</v>
      </c>
      <c r="F141" s="166">
        <v>1</v>
      </c>
      <c r="G141" s="210"/>
      <c r="H141" s="131">
        <f>F141*G141</f>
        <v>0</v>
      </c>
      <c r="I141" s="70" t="s">
        <v>363</v>
      </c>
    </row>
    <row r="142" spans="1:9" ht="13.5" thickBot="1">
      <c r="A142" s="106">
        <f>A141+1</f>
        <v>51</v>
      </c>
      <c r="B142" s="223"/>
      <c r="C142" s="107"/>
      <c r="D142" s="124" t="s">
        <v>265</v>
      </c>
      <c r="E142" s="109" t="s">
        <v>243</v>
      </c>
      <c r="F142" s="162">
        <f>+H122+H125+H127+H128+H129+H136+H140+H141</f>
        <v>0</v>
      </c>
      <c r="G142" s="211"/>
      <c r="H142" s="110">
        <f t="shared" si="9"/>
        <v>0</v>
      </c>
      <c r="I142" s="70" t="s">
        <v>363</v>
      </c>
    </row>
    <row r="143" spans="1:9" ht="13.5" thickBot="1">
      <c r="A143" s="106"/>
      <c r="B143" s="223"/>
      <c r="C143" s="107"/>
      <c r="D143" s="125" t="s">
        <v>236</v>
      </c>
      <c r="E143" s="126"/>
      <c r="F143" s="165"/>
      <c r="G143" s="127"/>
      <c r="H143" s="118">
        <f>SUBTOTAL(9,H122:H142)</f>
        <v>0</v>
      </c>
      <c r="I143" s="70"/>
    </row>
    <row r="144" spans="1:9" ht="12.75">
      <c r="A144" s="106"/>
      <c r="B144" s="223"/>
      <c r="C144" s="107"/>
      <c r="D144" s="119"/>
      <c r="E144" s="120"/>
      <c r="F144" s="150"/>
      <c r="G144" s="49"/>
      <c r="H144" s="121"/>
      <c r="I144" s="70"/>
    </row>
    <row r="145" spans="1:9" ht="16.5">
      <c r="A145" s="106"/>
      <c r="B145" s="223"/>
      <c r="C145" s="103" t="s">
        <v>255</v>
      </c>
      <c r="D145" s="189" t="s">
        <v>441</v>
      </c>
      <c r="E145" s="104"/>
      <c r="F145" s="168"/>
      <c r="G145" s="104"/>
      <c r="H145" s="104"/>
      <c r="I145" s="70"/>
    </row>
    <row r="146" spans="1:11" ht="90.75" customHeight="1">
      <c r="A146" s="106"/>
      <c r="B146" s="223"/>
      <c r="C146" s="103"/>
      <c r="D146" s="303" t="s">
        <v>283</v>
      </c>
      <c r="E146" s="303"/>
      <c r="F146" s="303"/>
      <c r="G146" s="187"/>
      <c r="H146" s="187"/>
      <c r="I146" s="70"/>
      <c r="K146" s="7"/>
    </row>
    <row r="147" spans="1:11" ht="51">
      <c r="A147" s="106">
        <f>A142+1</f>
        <v>52</v>
      </c>
      <c r="B147" s="223" t="s">
        <v>76</v>
      </c>
      <c r="C147" s="107" t="s">
        <v>507</v>
      </c>
      <c r="D147" s="111" t="s">
        <v>486</v>
      </c>
      <c r="E147" s="109" t="s">
        <v>235</v>
      </c>
      <c r="F147" s="162">
        <f>2.5+3</f>
        <v>5.5</v>
      </c>
      <c r="G147" s="190"/>
      <c r="H147" s="110">
        <f>F147*G147</f>
        <v>0</v>
      </c>
      <c r="I147" s="70" t="s">
        <v>363</v>
      </c>
      <c r="K147" s="1"/>
    </row>
    <row r="148" spans="1:11" ht="12.75">
      <c r="A148" s="106"/>
      <c r="B148" s="223"/>
      <c r="C148" s="224"/>
      <c r="D148" s="123" t="s">
        <v>415</v>
      </c>
      <c r="E148" s="114"/>
      <c r="F148" s="163"/>
      <c r="G148" s="190"/>
      <c r="H148" s="115"/>
      <c r="K148" s="1"/>
    </row>
    <row r="149" spans="1:11" ht="51">
      <c r="A149" s="106">
        <f>A147+1</f>
        <v>53</v>
      </c>
      <c r="B149" s="223" t="s">
        <v>489</v>
      </c>
      <c r="C149" s="222" t="s">
        <v>508</v>
      </c>
      <c r="D149" s="111" t="s">
        <v>488</v>
      </c>
      <c r="E149" s="109" t="s">
        <v>235</v>
      </c>
      <c r="F149" s="162">
        <v>5.2</v>
      </c>
      <c r="G149" s="190"/>
      <c r="H149" s="110">
        <f aca="true" t="shared" si="11" ref="H149:H163">F149*G149</f>
        <v>0</v>
      </c>
      <c r="I149" s="70" t="s">
        <v>363</v>
      </c>
      <c r="K149" s="1"/>
    </row>
    <row r="150" spans="1:11" ht="25.5">
      <c r="A150" s="106">
        <f aca="true" t="shared" si="12" ref="A150:A156">A149+1</f>
        <v>54</v>
      </c>
      <c r="B150" s="223" t="s">
        <v>499</v>
      </c>
      <c r="C150" s="107" t="s">
        <v>490</v>
      </c>
      <c r="D150" s="111" t="s">
        <v>498</v>
      </c>
      <c r="E150" s="109" t="s">
        <v>235</v>
      </c>
      <c r="F150" s="162">
        <f>5.2+2.5+3</f>
        <v>10.7</v>
      </c>
      <c r="G150" s="190"/>
      <c r="H150" s="110">
        <f t="shared" si="11"/>
        <v>0</v>
      </c>
      <c r="I150" s="70" t="s">
        <v>363</v>
      </c>
      <c r="K150" s="1"/>
    </row>
    <row r="151" spans="1:22" ht="12.75">
      <c r="A151" s="106">
        <f t="shared" si="12"/>
        <v>55</v>
      </c>
      <c r="B151" s="223"/>
      <c r="C151" s="128" t="s">
        <v>23</v>
      </c>
      <c r="D151" s="129" t="s">
        <v>22</v>
      </c>
      <c r="E151" s="130" t="s">
        <v>235</v>
      </c>
      <c r="F151" s="289">
        <f>F150*1.1</f>
        <v>11.77</v>
      </c>
      <c r="G151" s="210"/>
      <c r="H151" s="131">
        <f t="shared" si="11"/>
        <v>0</v>
      </c>
      <c r="I151" s="177" t="s">
        <v>363</v>
      </c>
      <c r="J151" s="16"/>
      <c r="K151" s="1"/>
      <c r="O151" s="3"/>
      <c r="R151" s="9"/>
      <c r="V151" s="183"/>
    </row>
    <row r="152" spans="1:22" ht="14.25" customHeight="1">
      <c r="A152" s="106">
        <f t="shared" si="12"/>
        <v>56</v>
      </c>
      <c r="B152" s="223" t="s">
        <v>493</v>
      </c>
      <c r="C152" s="107" t="s">
        <v>487</v>
      </c>
      <c r="D152" s="108" t="s">
        <v>24</v>
      </c>
      <c r="E152" s="109" t="s">
        <v>235</v>
      </c>
      <c r="F152" s="290">
        <v>3</v>
      </c>
      <c r="G152" s="190"/>
      <c r="H152" s="110">
        <f>F152*G152</f>
        <v>0</v>
      </c>
      <c r="I152" s="177" t="s">
        <v>363</v>
      </c>
      <c r="J152" s="201"/>
      <c r="K152" s="1"/>
      <c r="R152" s="9"/>
      <c r="V152" s="183"/>
    </row>
    <row r="153" spans="1:22" ht="25.5">
      <c r="A153" s="106">
        <f t="shared" si="12"/>
        <v>57</v>
      </c>
      <c r="B153" s="223" t="s">
        <v>496</v>
      </c>
      <c r="C153" s="107" t="s">
        <v>492</v>
      </c>
      <c r="D153" s="108" t="s">
        <v>497</v>
      </c>
      <c r="E153" s="109" t="s">
        <v>238</v>
      </c>
      <c r="F153" s="290">
        <f>6.66</f>
        <v>6.66</v>
      </c>
      <c r="G153" s="190"/>
      <c r="H153" s="110">
        <f>F153*G153</f>
        <v>0</v>
      </c>
      <c r="I153" s="177" t="s">
        <v>363</v>
      </c>
      <c r="J153" s="201"/>
      <c r="K153" s="1"/>
      <c r="R153" s="9"/>
      <c r="V153" s="183"/>
    </row>
    <row r="154" spans="1:22" ht="25.5">
      <c r="A154" s="106">
        <f t="shared" si="12"/>
        <v>58</v>
      </c>
      <c r="B154" s="223" t="s">
        <v>494</v>
      </c>
      <c r="C154" s="107" t="s">
        <v>147</v>
      </c>
      <c r="D154" s="108" t="s">
        <v>495</v>
      </c>
      <c r="E154" s="109" t="s">
        <v>237</v>
      </c>
      <c r="F154" s="290">
        <v>1</v>
      </c>
      <c r="G154" s="190"/>
      <c r="H154" s="110">
        <f>F154*G154</f>
        <v>0</v>
      </c>
      <c r="I154" s="177" t="s">
        <v>363</v>
      </c>
      <c r="J154" s="201"/>
      <c r="K154" s="1"/>
      <c r="R154" s="9"/>
      <c r="V154" s="183"/>
    </row>
    <row r="155" spans="1:22" ht="25.5">
      <c r="A155" s="106">
        <f t="shared" si="12"/>
        <v>59</v>
      </c>
      <c r="B155" s="223"/>
      <c r="C155" s="128" t="s">
        <v>354</v>
      </c>
      <c r="D155" s="129" t="s">
        <v>491</v>
      </c>
      <c r="E155" s="130" t="s">
        <v>235</v>
      </c>
      <c r="F155" s="289">
        <f>+F152*1.1</f>
        <v>3.3000000000000003</v>
      </c>
      <c r="G155" s="210"/>
      <c r="H155" s="131">
        <f t="shared" si="11"/>
        <v>0</v>
      </c>
      <c r="I155" s="177" t="s">
        <v>363</v>
      </c>
      <c r="J155" s="182"/>
      <c r="K155" s="1"/>
      <c r="O155" s="3"/>
      <c r="R155" s="9"/>
      <c r="V155" s="183"/>
    </row>
    <row r="156" spans="1:11" ht="51">
      <c r="A156" s="106">
        <f t="shared" si="12"/>
        <v>60</v>
      </c>
      <c r="B156" s="223" t="s">
        <v>489</v>
      </c>
      <c r="C156" s="138" t="s">
        <v>508</v>
      </c>
      <c r="D156" s="108" t="s">
        <v>416</v>
      </c>
      <c r="E156" s="114" t="s">
        <v>235</v>
      </c>
      <c r="F156" s="163">
        <f>0.25*(2.59+2*4.78+3.09)+0.52</f>
        <v>4.33</v>
      </c>
      <c r="G156" s="209"/>
      <c r="H156" s="115">
        <f t="shared" si="11"/>
        <v>0</v>
      </c>
      <c r="I156" s="28" t="s">
        <v>363</v>
      </c>
      <c r="K156" s="1"/>
    </row>
    <row r="157" spans="1:11" ht="63.75">
      <c r="A157" s="106">
        <f aca="true" t="shared" si="13" ref="A157:A162">A156+1</f>
        <v>61</v>
      </c>
      <c r="B157" s="223" t="s">
        <v>502</v>
      </c>
      <c r="C157" s="138" t="s">
        <v>508</v>
      </c>
      <c r="D157" s="108" t="s">
        <v>501</v>
      </c>
      <c r="E157" s="114" t="s">
        <v>235</v>
      </c>
      <c r="F157" s="163">
        <f>0.28*(2.59+2*4.78+3.09)+0.28*(0.4+2*0.3)</f>
        <v>4.547200000000001</v>
      </c>
      <c r="G157" s="209"/>
      <c r="H157" s="115">
        <f t="shared" si="11"/>
        <v>0</v>
      </c>
      <c r="I157" s="28" t="s">
        <v>363</v>
      </c>
      <c r="K157" s="1"/>
    </row>
    <row r="158" spans="1:9" ht="12.75">
      <c r="A158" s="106">
        <f>A157+1</f>
        <v>62</v>
      </c>
      <c r="B158" s="223" t="s">
        <v>123</v>
      </c>
      <c r="C158" s="128"/>
      <c r="D158" s="108" t="s">
        <v>184</v>
      </c>
      <c r="E158" s="109" t="s">
        <v>235</v>
      </c>
      <c r="F158" s="195">
        <f>3+2.5</f>
        <v>5.5</v>
      </c>
      <c r="G158" s="209"/>
      <c r="H158" s="110">
        <f t="shared" si="11"/>
        <v>0</v>
      </c>
      <c r="I158" s="70" t="s">
        <v>363</v>
      </c>
    </row>
    <row r="159" spans="1:22" ht="12.75">
      <c r="A159" s="106">
        <f t="shared" si="13"/>
        <v>63</v>
      </c>
      <c r="B159" s="223" t="s">
        <v>503</v>
      </c>
      <c r="C159" s="107"/>
      <c r="D159" s="108" t="s">
        <v>442</v>
      </c>
      <c r="E159" s="109" t="s">
        <v>235</v>
      </c>
      <c r="F159" s="195">
        <v>5.2</v>
      </c>
      <c r="G159" s="209"/>
      <c r="H159" s="110">
        <f>F159*G159</f>
        <v>0</v>
      </c>
      <c r="I159" s="177" t="s">
        <v>363</v>
      </c>
      <c r="K159" s="1"/>
      <c r="R159" s="9"/>
      <c r="V159" s="183"/>
    </row>
    <row r="160" spans="1:9" ht="12.75">
      <c r="A160" s="106">
        <f>A159+1</f>
        <v>64</v>
      </c>
      <c r="B160" s="232" t="s">
        <v>75</v>
      </c>
      <c r="C160" s="107" t="s">
        <v>417</v>
      </c>
      <c r="D160" s="108" t="s">
        <v>505</v>
      </c>
      <c r="E160" s="109" t="s">
        <v>237</v>
      </c>
      <c r="F160" s="162">
        <f>+F161+F162</f>
        <v>22.5772</v>
      </c>
      <c r="G160" s="190"/>
      <c r="H160" s="110">
        <f>F160*G160</f>
        <v>0</v>
      </c>
      <c r="I160" s="70" t="s">
        <v>363</v>
      </c>
    </row>
    <row r="161" spans="1:9" ht="25.5">
      <c r="A161" s="106">
        <f>A160+1</f>
        <v>65</v>
      </c>
      <c r="B161" s="223"/>
      <c r="C161" s="128" t="s">
        <v>417</v>
      </c>
      <c r="D161" s="129" t="s">
        <v>504</v>
      </c>
      <c r="E161" s="130" t="s">
        <v>237</v>
      </c>
      <c r="F161" s="166">
        <v>3</v>
      </c>
      <c r="G161" s="210"/>
      <c r="H161" s="131">
        <f t="shared" si="11"/>
        <v>0</v>
      </c>
      <c r="I161" s="70" t="s">
        <v>363</v>
      </c>
    </row>
    <row r="162" spans="1:11" ht="12.75">
      <c r="A162" s="106">
        <f t="shared" si="13"/>
        <v>66</v>
      </c>
      <c r="B162" s="223"/>
      <c r="C162" s="107" t="s">
        <v>506</v>
      </c>
      <c r="D162" s="108" t="s">
        <v>286</v>
      </c>
      <c r="E162" s="109" t="s">
        <v>235</v>
      </c>
      <c r="F162" s="162">
        <f>F157+F156+F149+F147</f>
        <v>19.5772</v>
      </c>
      <c r="G162" s="190"/>
      <c r="H162" s="110">
        <f t="shared" si="11"/>
        <v>0</v>
      </c>
      <c r="I162" s="132" t="s">
        <v>363</v>
      </c>
      <c r="K162" s="7"/>
    </row>
    <row r="163" spans="1:9" ht="13.5" thickBot="1">
      <c r="A163" s="106">
        <f>A162+1</f>
        <v>67</v>
      </c>
      <c r="B163" s="223"/>
      <c r="C163" s="107"/>
      <c r="D163" s="108" t="s">
        <v>262</v>
      </c>
      <c r="E163" s="133" t="s">
        <v>243</v>
      </c>
      <c r="F163" s="162">
        <f>SUM(H147,H149,H151,H155,H153,H156,H157,H161)</f>
        <v>0</v>
      </c>
      <c r="G163" s="212"/>
      <c r="H163" s="134">
        <f t="shared" si="11"/>
        <v>0</v>
      </c>
      <c r="I163" s="70" t="s">
        <v>363</v>
      </c>
    </row>
    <row r="164" spans="1:9" ht="13.5" thickBot="1">
      <c r="A164" s="106"/>
      <c r="B164" s="223"/>
      <c r="C164" s="107"/>
      <c r="D164" s="125" t="s">
        <v>236</v>
      </c>
      <c r="E164" s="126"/>
      <c r="F164" s="165"/>
      <c r="G164" s="127"/>
      <c r="H164" s="118">
        <f>SUBTOTAL(9,H147:H163)</f>
        <v>0</v>
      </c>
      <c r="I164" s="70"/>
    </row>
    <row r="165" spans="1:9" ht="12.75">
      <c r="A165" s="106"/>
      <c r="B165" s="223"/>
      <c r="C165" s="107"/>
      <c r="D165" s="119"/>
      <c r="E165" s="120"/>
      <c r="F165" s="150"/>
      <c r="G165" s="49"/>
      <c r="H165" s="121"/>
      <c r="I165" s="70"/>
    </row>
    <row r="166" spans="1:9" ht="16.5">
      <c r="A166" s="106"/>
      <c r="B166" s="223"/>
      <c r="C166" s="122" t="s">
        <v>256</v>
      </c>
      <c r="D166" s="104" t="s">
        <v>368</v>
      </c>
      <c r="E166" s="104"/>
      <c r="F166" s="168"/>
      <c r="G166" s="104"/>
      <c r="H166" s="104"/>
      <c r="I166" s="70"/>
    </row>
    <row r="167" spans="1:11" ht="42" customHeight="1">
      <c r="A167" s="106"/>
      <c r="B167" s="223"/>
      <c r="C167" s="107"/>
      <c r="D167" s="307" t="s">
        <v>272</v>
      </c>
      <c r="E167" s="307"/>
      <c r="F167" s="307"/>
      <c r="G167" s="186"/>
      <c r="H167" s="186"/>
      <c r="I167" s="132"/>
      <c r="K167" s="7"/>
    </row>
    <row r="168" spans="1:9" ht="25.5">
      <c r="A168" s="106">
        <f>A163+1</f>
        <v>68</v>
      </c>
      <c r="B168" s="223" t="s">
        <v>124</v>
      </c>
      <c r="C168" s="107"/>
      <c r="D168" s="108" t="s">
        <v>9</v>
      </c>
      <c r="E168" s="109" t="s">
        <v>235</v>
      </c>
      <c r="F168" s="162">
        <f>+E169+E170+E171+E172+E173</f>
        <v>96.16590000000001</v>
      </c>
      <c r="G168" s="190"/>
      <c r="H168" s="110">
        <f>F168*G168</f>
        <v>0</v>
      </c>
      <c r="I168" s="70" t="s">
        <v>357</v>
      </c>
    </row>
    <row r="169" spans="1:9" ht="12.75">
      <c r="A169" s="106"/>
      <c r="B169" s="223"/>
      <c r="C169" s="107"/>
      <c r="D169" s="202" t="s">
        <v>445</v>
      </c>
      <c r="E169" s="178">
        <f>+(2.5*10.44-2.56*2.26)-0.8*2.15-1.06*2.1</f>
        <v>16.3684</v>
      </c>
      <c r="F169" s="162"/>
      <c r="G169" s="190"/>
      <c r="H169" s="110"/>
      <c r="I169" s="70"/>
    </row>
    <row r="170" spans="1:9" ht="25.5">
      <c r="A170" s="106"/>
      <c r="B170" s="223"/>
      <c r="C170" s="107"/>
      <c r="D170" s="202" t="s">
        <v>2</v>
      </c>
      <c r="E170" s="178">
        <f>+(16.1-2.7)*2.89-0.9*2.15-0.7*2.15+0.15*2*1.87+0.15*1.47-1.47*1.87</f>
        <v>33.3186</v>
      </c>
      <c r="F170" s="162"/>
      <c r="G170" s="190"/>
      <c r="H170" s="110"/>
      <c r="I170" s="70"/>
    </row>
    <row r="171" spans="1:9" ht="25.5">
      <c r="A171" s="106"/>
      <c r="B171" s="223"/>
      <c r="C171" s="107"/>
      <c r="D171" s="202" t="s">
        <v>446</v>
      </c>
      <c r="E171" s="178">
        <f>+(17.6*2.88-2.55*2.88)-(0.9*2.15+1.09*2.57)+0.15*2*1.88+0.15*1.49-1.49*1.88</f>
        <v>36.594</v>
      </c>
      <c r="F171" s="162"/>
      <c r="G171" s="190"/>
      <c r="H171" s="110"/>
      <c r="I171" s="70"/>
    </row>
    <row r="172" spans="1:9" ht="12.75">
      <c r="A172" s="106"/>
      <c r="B172" s="223"/>
      <c r="C172" s="107"/>
      <c r="D172" s="202" t="s">
        <v>0</v>
      </c>
      <c r="E172" s="178">
        <f>+(2.83-2.2)*(6.66-1.53)-0.6*0.37</f>
        <v>3.0098999999999996</v>
      </c>
      <c r="F172" s="162"/>
      <c r="G172" s="190"/>
      <c r="H172" s="110"/>
      <c r="I172" s="70"/>
    </row>
    <row r="173" spans="1:9" ht="12.75">
      <c r="A173" s="106"/>
      <c r="B173" s="223"/>
      <c r="C173" s="107"/>
      <c r="D173" s="202" t="s">
        <v>1</v>
      </c>
      <c r="E173" s="178">
        <f>+(0.9+1.4+0.45)*2.5</f>
        <v>6.875</v>
      </c>
      <c r="F173" s="162"/>
      <c r="G173" s="190"/>
      <c r="H173" s="110"/>
      <c r="I173" s="70"/>
    </row>
    <row r="174" spans="1:9" ht="25.5">
      <c r="A174" s="106">
        <f>A168+1</f>
        <v>69</v>
      </c>
      <c r="B174" s="223" t="s">
        <v>124</v>
      </c>
      <c r="C174" s="107"/>
      <c r="D174" s="108" t="s">
        <v>8</v>
      </c>
      <c r="E174" s="109" t="s">
        <v>235</v>
      </c>
      <c r="F174" s="162">
        <f>12+16.3</f>
        <v>28.3</v>
      </c>
      <c r="G174" s="190"/>
      <c r="H174" s="110">
        <f>F174*G174</f>
        <v>0</v>
      </c>
      <c r="I174" s="70" t="s">
        <v>357</v>
      </c>
    </row>
    <row r="175" spans="1:9" ht="12.75">
      <c r="A175" s="106"/>
      <c r="B175" s="223"/>
      <c r="C175" s="107"/>
      <c r="D175" s="112" t="s">
        <v>3</v>
      </c>
      <c r="E175" s="109"/>
      <c r="F175" s="162"/>
      <c r="G175" s="190"/>
      <c r="H175" s="110"/>
      <c r="I175" s="70"/>
    </row>
    <row r="176" spans="1:9" ht="12.75">
      <c r="A176" s="106"/>
      <c r="B176" s="223"/>
      <c r="C176" s="107"/>
      <c r="D176" s="112" t="s">
        <v>4</v>
      </c>
      <c r="E176" s="109"/>
      <c r="F176" s="162"/>
      <c r="G176" s="190"/>
      <c r="H176" s="110"/>
      <c r="I176" s="70"/>
    </row>
    <row r="177" spans="1:9" ht="12.75">
      <c r="A177" s="106"/>
      <c r="B177" s="223"/>
      <c r="C177" s="107"/>
      <c r="D177" s="112" t="s">
        <v>5</v>
      </c>
      <c r="E177" s="109"/>
      <c r="F177" s="162"/>
      <c r="G177" s="190"/>
      <c r="H177" s="110"/>
      <c r="I177" s="70"/>
    </row>
    <row r="178" spans="1:9" ht="12.75">
      <c r="A178" s="106"/>
      <c r="B178" s="223"/>
      <c r="C178" s="107"/>
      <c r="D178" s="112" t="s">
        <v>420</v>
      </c>
      <c r="E178" s="109"/>
      <c r="F178" s="162"/>
      <c r="G178" s="190"/>
      <c r="H178" s="110"/>
      <c r="I178" s="70"/>
    </row>
    <row r="179" spans="1:9" ht="12.75">
      <c r="A179" s="106"/>
      <c r="B179" s="223"/>
      <c r="C179" s="107"/>
      <c r="D179" s="112" t="s">
        <v>421</v>
      </c>
      <c r="E179" s="109"/>
      <c r="F179" s="162"/>
      <c r="G179" s="190"/>
      <c r="H179" s="110"/>
      <c r="I179" s="70"/>
    </row>
    <row r="180" spans="1:11" ht="12.75">
      <c r="A180" s="106">
        <f>A174+1</f>
        <v>70</v>
      </c>
      <c r="B180" s="223" t="s">
        <v>512</v>
      </c>
      <c r="C180" s="222" t="s">
        <v>371</v>
      </c>
      <c r="D180" s="108" t="s">
        <v>511</v>
      </c>
      <c r="E180" s="109" t="s">
        <v>235</v>
      </c>
      <c r="F180" s="162">
        <f>+F168</f>
        <v>96.16590000000001</v>
      </c>
      <c r="G180" s="190"/>
      <c r="H180" s="110">
        <f aca="true" t="shared" si="14" ref="H180:H185">F180*G180</f>
        <v>0</v>
      </c>
      <c r="I180" s="132" t="s">
        <v>357</v>
      </c>
      <c r="K180" s="16"/>
    </row>
    <row r="181" spans="1:11" ht="12.75">
      <c r="A181" s="106">
        <f>A180+1</f>
        <v>71</v>
      </c>
      <c r="B181" s="223" t="s">
        <v>515</v>
      </c>
      <c r="C181" s="222" t="s">
        <v>147</v>
      </c>
      <c r="D181" s="108" t="s">
        <v>517</v>
      </c>
      <c r="E181" s="109" t="s">
        <v>235</v>
      </c>
      <c r="F181" s="162">
        <f>F182</f>
        <v>18.0192</v>
      </c>
      <c r="G181" s="190"/>
      <c r="H181" s="110">
        <f t="shared" si="14"/>
        <v>0</v>
      </c>
      <c r="I181" s="132" t="s">
        <v>357</v>
      </c>
      <c r="K181" s="16"/>
    </row>
    <row r="182" spans="1:11" ht="25.5">
      <c r="A182" s="106">
        <f>A181+1</f>
        <v>72</v>
      </c>
      <c r="B182" s="223" t="s">
        <v>514</v>
      </c>
      <c r="C182" s="222"/>
      <c r="D182" s="108" t="s">
        <v>513</v>
      </c>
      <c r="E182" s="109" t="s">
        <v>235</v>
      </c>
      <c r="F182" s="162">
        <f>+(6.24*2+1.52*2.46+0.6*3)</f>
        <v>18.0192</v>
      </c>
      <c r="G182" s="190"/>
      <c r="H182" s="110">
        <f t="shared" si="14"/>
        <v>0</v>
      </c>
      <c r="I182" s="132" t="s">
        <v>357</v>
      </c>
      <c r="K182" s="16"/>
    </row>
    <row r="183" spans="1:11" ht="12.75">
      <c r="A183" s="106">
        <f>A182+1</f>
        <v>73</v>
      </c>
      <c r="B183" s="223" t="s">
        <v>509</v>
      </c>
      <c r="C183" s="107" t="s">
        <v>371</v>
      </c>
      <c r="D183" s="108" t="s">
        <v>510</v>
      </c>
      <c r="E183" s="109" t="s">
        <v>235</v>
      </c>
      <c r="F183" s="162">
        <f>+F90</f>
        <v>28.3</v>
      </c>
      <c r="G183" s="190"/>
      <c r="H183" s="110">
        <f t="shared" si="14"/>
        <v>0</v>
      </c>
      <c r="I183" s="132" t="s">
        <v>357</v>
      </c>
      <c r="K183" s="16"/>
    </row>
    <row r="184" spans="1:11" ht="12.75">
      <c r="A184" s="106">
        <f>A183+1</f>
        <v>74</v>
      </c>
      <c r="B184" s="223" t="s">
        <v>515</v>
      </c>
      <c r="C184" s="222" t="s">
        <v>147</v>
      </c>
      <c r="D184" s="108" t="s">
        <v>516</v>
      </c>
      <c r="E184" s="109" t="s">
        <v>235</v>
      </c>
      <c r="F184" s="162">
        <f>F185</f>
        <v>149.7739</v>
      </c>
      <c r="G184" s="190"/>
      <c r="H184" s="110">
        <f t="shared" si="14"/>
        <v>0</v>
      </c>
      <c r="I184" s="132" t="s">
        <v>357</v>
      </c>
      <c r="K184" s="16"/>
    </row>
    <row r="185" spans="1:11" ht="25.5">
      <c r="A185" s="106">
        <f>A184+1</f>
        <v>75</v>
      </c>
      <c r="B185" s="223" t="s">
        <v>142</v>
      </c>
      <c r="C185" s="107" t="s">
        <v>372</v>
      </c>
      <c r="D185" s="111" t="s">
        <v>423</v>
      </c>
      <c r="E185" s="114" t="s">
        <v>235</v>
      </c>
      <c r="F185" s="162">
        <f>+E186+E187+E188+E189+E190</f>
        <v>149.7739</v>
      </c>
      <c r="G185" s="190"/>
      <c r="H185" s="115">
        <f t="shared" si="14"/>
        <v>0</v>
      </c>
      <c r="I185" s="132" t="s">
        <v>357</v>
      </c>
      <c r="K185" s="7"/>
    </row>
    <row r="186" spans="1:11" ht="12.75">
      <c r="A186" s="106"/>
      <c r="B186" s="223"/>
      <c r="C186" s="107"/>
      <c r="D186" s="202" t="s">
        <v>425</v>
      </c>
      <c r="E186" s="178">
        <f>0+(2.5*10.44)-2*0.8*2.15-1.06*2.1-0.9*2.15</f>
        <v>18.499</v>
      </c>
      <c r="F186" s="162"/>
      <c r="G186" s="190"/>
      <c r="H186" s="115"/>
      <c r="I186" s="132"/>
      <c r="K186" s="7"/>
    </row>
    <row r="187" spans="1:11" ht="25.5">
      <c r="A187" s="106"/>
      <c r="B187" s="223"/>
      <c r="C187" s="107"/>
      <c r="D187" s="202" t="s">
        <v>428</v>
      </c>
      <c r="E187" s="178">
        <f>2+(16.1-2.7)*2.89-0.9*2.15-0.7*2.15+0.15*2*1.87+0.15*1.47-1.47*1.87</f>
        <v>35.3186</v>
      </c>
      <c r="F187" s="162"/>
      <c r="G187" s="190"/>
      <c r="H187" s="115"/>
      <c r="I187" s="132"/>
      <c r="K187" s="7"/>
    </row>
    <row r="188" spans="1:11" ht="25.5">
      <c r="A188" s="106"/>
      <c r="B188" s="223"/>
      <c r="C188" s="107"/>
      <c r="D188" s="202" t="s">
        <v>427</v>
      </c>
      <c r="E188" s="178">
        <f>16.3+(17.6*2.88)-(2*0.9*2.15)+0.15*2*1.88+0.15*1.49-1.49*1.88</f>
        <v>61.1043</v>
      </c>
      <c r="F188" s="162"/>
      <c r="G188" s="190"/>
      <c r="H188" s="115"/>
      <c r="I188" s="132"/>
      <c r="K188" s="7"/>
    </row>
    <row r="189" spans="1:11" ht="12.75">
      <c r="A189" s="106"/>
      <c r="B189" s="223"/>
      <c r="C189" s="107"/>
      <c r="D189" s="202" t="s">
        <v>429</v>
      </c>
      <c r="E189" s="178">
        <f>0+(2.7*6.66)-0.6*1.1-0.8*2.15+(2*1.1+0.6)*0.15</f>
        <v>16.022000000000002</v>
      </c>
      <c r="F189" s="196"/>
      <c r="G189" s="190"/>
      <c r="H189" s="115"/>
      <c r="I189" s="132"/>
      <c r="K189" s="7"/>
    </row>
    <row r="190" spans="1:9" ht="12.75">
      <c r="A190" s="106"/>
      <c r="B190" s="223"/>
      <c r="C190" s="138"/>
      <c r="D190" s="202" t="s">
        <v>426</v>
      </c>
      <c r="E190" s="178">
        <f>0+8.22*2.5-0.8*2.15</f>
        <v>18.830000000000002</v>
      </c>
      <c r="F190" s="196"/>
      <c r="G190" s="190"/>
      <c r="H190" s="110"/>
      <c r="I190" s="70"/>
    </row>
    <row r="191" spans="1:11" ht="38.25">
      <c r="A191" s="106">
        <f>A185+1</f>
        <v>76</v>
      </c>
      <c r="B191" s="223" t="s">
        <v>132</v>
      </c>
      <c r="C191" s="107" t="s">
        <v>372</v>
      </c>
      <c r="D191" s="108" t="s">
        <v>522</v>
      </c>
      <c r="E191" s="109" t="s">
        <v>235</v>
      </c>
      <c r="F191" s="162">
        <f>+E192+E193+E194+E195+E196</f>
        <v>94.40190000000001</v>
      </c>
      <c r="G191" s="190"/>
      <c r="H191" s="110">
        <f>F191*G191</f>
        <v>0</v>
      </c>
      <c r="I191" s="70" t="s">
        <v>357</v>
      </c>
      <c r="K191" s="7"/>
    </row>
    <row r="192" spans="1:11" ht="12.75">
      <c r="A192" s="106"/>
      <c r="B192" s="223"/>
      <c r="C192" s="107"/>
      <c r="D192" s="202" t="s">
        <v>6</v>
      </c>
      <c r="E192" s="178">
        <f>+(2.5*10.44)-2*0.8*2.15-1.06*2.1-0.9*2.15</f>
        <v>18.499</v>
      </c>
      <c r="F192" s="162"/>
      <c r="G192" s="190"/>
      <c r="H192" s="110"/>
      <c r="I192" s="132"/>
      <c r="K192" s="7"/>
    </row>
    <row r="193" spans="1:11" ht="25.5">
      <c r="A193" s="106"/>
      <c r="B193" s="223"/>
      <c r="C193" s="107"/>
      <c r="D193" s="202" t="s">
        <v>2</v>
      </c>
      <c r="E193" s="178">
        <f>+(16.1-2.7)*2.89-0.9*2.15-0.7*2.15+0.15*2*1.87+0.15*1.47-1.47*1.87</f>
        <v>33.3186</v>
      </c>
      <c r="F193" s="162"/>
      <c r="G193" s="190"/>
      <c r="H193" s="110"/>
      <c r="I193" s="132"/>
      <c r="K193" s="7"/>
    </row>
    <row r="194" spans="1:11" ht="25.5">
      <c r="A194" s="106"/>
      <c r="B194" s="223"/>
      <c r="C194" s="107"/>
      <c r="D194" s="202" t="s">
        <v>7</v>
      </c>
      <c r="E194" s="178">
        <f>+(17.6*2.88)-(2*0.9*2.15)-3.7*0.6+0.15*2*1.88+0.15*1.49-1.49*1.88</f>
        <v>42.584300000000006</v>
      </c>
      <c r="F194" s="162"/>
      <c r="G194" s="190"/>
      <c r="H194" s="110"/>
      <c r="I194" s="132"/>
      <c r="K194" s="7"/>
    </row>
    <row r="195" spans="1:11" ht="12.75">
      <c r="A195" s="106"/>
      <c r="B195" s="223"/>
      <c r="C195" s="107"/>
      <c r="D195" s="112" t="s">
        <v>420</v>
      </c>
      <c r="E195" s="178">
        <v>0</v>
      </c>
      <c r="F195" s="162"/>
      <c r="G195" s="190"/>
      <c r="H195" s="110"/>
      <c r="I195" s="132"/>
      <c r="K195" s="7"/>
    </row>
    <row r="196" spans="1:11" ht="12.75">
      <c r="A196" s="106"/>
      <c r="B196" s="223"/>
      <c r="C196" s="107"/>
      <c r="D196" s="112" t="s">
        <v>421</v>
      </c>
      <c r="E196" s="178">
        <v>0</v>
      </c>
      <c r="F196" s="162"/>
      <c r="G196" s="190"/>
      <c r="H196" s="110"/>
      <c r="I196" s="132"/>
      <c r="K196" s="7"/>
    </row>
    <row r="197" spans="1:11" ht="38.25">
      <c r="A197" s="106">
        <f>A191+1</f>
        <v>77</v>
      </c>
      <c r="B197" s="223" t="s">
        <v>132</v>
      </c>
      <c r="C197" s="107" t="s">
        <v>372</v>
      </c>
      <c r="D197" s="108" t="s">
        <v>129</v>
      </c>
      <c r="E197" s="109" t="s">
        <v>235</v>
      </c>
      <c r="F197" s="162">
        <f>12+16.3</f>
        <v>28.3</v>
      </c>
      <c r="G197" s="190"/>
      <c r="H197" s="110">
        <f>F197*G197</f>
        <v>0</v>
      </c>
      <c r="I197" s="70" t="s">
        <v>357</v>
      </c>
      <c r="K197" s="7"/>
    </row>
    <row r="198" spans="1:11" ht="12.75">
      <c r="A198" s="106"/>
      <c r="B198" s="223"/>
      <c r="C198" s="107"/>
      <c r="D198" s="112" t="s">
        <v>3</v>
      </c>
      <c r="E198" s="109"/>
      <c r="F198" s="162"/>
      <c r="G198" s="190"/>
      <c r="H198" s="110"/>
      <c r="I198" s="132"/>
      <c r="K198" s="7"/>
    </row>
    <row r="199" spans="1:11" ht="12.75">
      <c r="A199" s="106"/>
      <c r="B199" s="223"/>
      <c r="C199" s="107"/>
      <c r="D199" s="112" t="s">
        <v>4</v>
      </c>
      <c r="E199" s="109"/>
      <c r="F199" s="162"/>
      <c r="G199" s="190"/>
      <c r="H199" s="110"/>
      <c r="I199" s="132"/>
      <c r="K199" s="7"/>
    </row>
    <row r="200" spans="1:11" ht="12.75">
      <c r="A200" s="106"/>
      <c r="B200" s="223"/>
      <c r="C200" s="107"/>
      <c r="D200" s="112" t="s">
        <v>5</v>
      </c>
      <c r="E200" s="109"/>
      <c r="F200" s="162"/>
      <c r="G200" s="190"/>
      <c r="H200" s="110"/>
      <c r="I200" s="132"/>
      <c r="K200" s="7"/>
    </row>
    <row r="201" spans="1:11" ht="12.75">
      <c r="A201" s="106"/>
      <c r="B201" s="223"/>
      <c r="C201" s="107"/>
      <c r="D201" s="112" t="s">
        <v>420</v>
      </c>
      <c r="E201" s="109"/>
      <c r="F201" s="162"/>
      <c r="G201" s="190"/>
      <c r="H201" s="110"/>
      <c r="I201" s="132"/>
      <c r="K201" s="7"/>
    </row>
    <row r="202" spans="1:11" ht="12.75">
      <c r="A202" s="106"/>
      <c r="B202" s="223"/>
      <c r="C202" s="107"/>
      <c r="D202" s="112" t="s">
        <v>421</v>
      </c>
      <c r="E202" s="109"/>
      <c r="F202" s="162"/>
      <c r="G202" s="190"/>
      <c r="H202" s="110"/>
      <c r="I202" s="132"/>
      <c r="K202" s="7"/>
    </row>
    <row r="203" spans="1:11" ht="12.75">
      <c r="A203" s="106">
        <f>A197+1</f>
        <v>78</v>
      </c>
      <c r="B203" s="223" t="s">
        <v>524</v>
      </c>
      <c r="C203" s="107" t="s">
        <v>147</v>
      </c>
      <c r="D203" s="108" t="s">
        <v>523</v>
      </c>
      <c r="E203" s="109" t="s">
        <v>238</v>
      </c>
      <c r="F203" s="162">
        <f>SUM(E205:E208)</f>
        <v>24.98</v>
      </c>
      <c r="G203" s="190"/>
      <c r="H203" s="110">
        <f>F203*G203</f>
        <v>0</v>
      </c>
      <c r="I203" s="70" t="s">
        <v>357</v>
      </c>
      <c r="K203" s="7"/>
    </row>
    <row r="204" spans="1:11" ht="12.75">
      <c r="A204" s="106"/>
      <c r="B204" s="223"/>
      <c r="C204" s="107"/>
      <c r="D204" s="112" t="s">
        <v>3</v>
      </c>
      <c r="E204" s="109"/>
      <c r="F204" s="162"/>
      <c r="G204" s="190"/>
      <c r="H204" s="110"/>
      <c r="I204" s="132"/>
      <c r="K204" s="7"/>
    </row>
    <row r="205" spans="1:11" ht="12.75">
      <c r="A205" s="106"/>
      <c r="B205" s="223"/>
      <c r="C205" s="107"/>
      <c r="D205" s="112" t="s">
        <v>528</v>
      </c>
      <c r="E205" s="178">
        <f>1.87*2+1.47+0.72+0.5</f>
        <v>6.43</v>
      </c>
      <c r="F205" s="162"/>
      <c r="G205" s="190"/>
      <c r="H205" s="110"/>
      <c r="I205" s="132"/>
      <c r="K205" s="7"/>
    </row>
    <row r="206" spans="1:11" ht="12.75">
      <c r="A206" s="106"/>
      <c r="B206" s="223"/>
      <c r="C206" s="107"/>
      <c r="D206" s="112" t="s">
        <v>525</v>
      </c>
      <c r="E206" s="178">
        <f>2.65+2.08+1.88*2+1.49</f>
        <v>9.98</v>
      </c>
      <c r="F206" s="162"/>
      <c r="G206" s="190"/>
      <c r="H206" s="110"/>
      <c r="I206" s="132"/>
      <c r="K206" s="7"/>
    </row>
    <row r="207" spans="1:11" ht="12.75">
      <c r="A207" s="106"/>
      <c r="B207" s="223"/>
      <c r="C207" s="107"/>
      <c r="D207" s="112" t="s">
        <v>526</v>
      </c>
      <c r="E207" s="178">
        <f>2.65+1.1*2+0.61*2</f>
        <v>6.069999999999999</v>
      </c>
      <c r="F207" s="162"/>
      <c r="G207" s="190"/>
      <c r="H207" s="110"/>
      <c r="I207" s="132"/>
      <c r="K207" s="7"/>
    </row>
    <row r="208" spans="1:11" ht="12.75">
      <c r="A208" s="106"/>
      <c r="B208" s="223"/>
      <c r="C208" s="107"/>
      <c r="D208" s="112" t="s">
        <v>527</v>
      </c>
      <c r="E208" s="178">
        <f>2.5</f>
        <v>2.5</v>
      </c>
      <c r="F208" s="162"/>
      <c r="G208" s="190"/>
      <c r="H208" s="110"/>
      <c r="I208" s="132"/>
      <c r="K208" s="7"/>
    </row>
    <row r="209" spans="1:11" ht="25.5">
      <c r="A209" s="106">
        <f>A203+1</f>
        <v>79</v>
      </c>
      <c r="B209" s="223" t="s">
        <v>521</v>
      </c>
      <c r="C209" s="107" t="s">
        <v>147</v>
      </c>
      <c r="D209" s="108" t="s">
        <v>520</v>
      </c>
      <c r="E209" s="109" t="s">
        <v>235</v>
      </c>
      <c r="F209" s="162">
        <f>SUM(E211:E212)</f>
        <v>3.1</v>
      </c>
      <c r="G209" s="190"/>
      <c r="H209" s="110">
        <f>F209*G209</f>
        <v>0</v>
      </c>
      <c r="I209" s="70" t="s">
        <v>357</v>
      </c>
      <c r="K209" s="7"/>
    </row>
    <row r="210" spans="1:11" ht="12.75">
      <c r="A210" s="106"/>
      <c r="B210" s="223"/>
      <c r="C210" s="107"/>
      <c r="D210" s="112" t="s">
        <v>3</v>
      </c>
      <c r="E210" s="109"/>
      <c r="F210" s="162"/>
      <c r="G210" s="190"/>
      <c r="H210" s="110"/>
      <c r="I210" s="132"/>
      <c r="K210" s="7"/>
    </row>
    <row r="211" spans="1:11" ht="12.75">
      <c r="A211" s="106"/>
      <c r="B211" s="223"/>
      <c r="C211" s="107"/>
      <c r="D211" s="112" t="s">
        <v>529</v>
      </c>
      <c r="E211" s="178">
        <f>0.25*1.87*2+0.25*1.47+0.25*0.72*2+0.25*0.5</f>
        <v>1.7875</v>
      </c>
      <c r="F211" s="162"/>
      <c r="G211" s="190"/>
      <c r="H211" s="110"/>
      <c r="I211" s="132"/>
      <c r="K211" s="7"/>
    </row>
    <row r="212" spans="1:11" ht="12.75">
      <c r="A212" s="106"/>
      <c r="B212" s="223"/>
      <c r="C212" s="107"/>
      <c r="D212" s="112" t="s">
        <v>530</v>
      </c>
      <c r="E212" s="178">
        <f>0.25*1.88*2+0.25*1.49</f>
        <v>1.3125</v>
      </c>
      <c r="F212" s="162"/>
      <c r="G212" s="190"/>
      <c r="H212" s="110"/>
      <c r="I212" s="132"/>
      <c r="K212" s="7"/>
    </row>
    <row r="213" spans="1:11" ht="12.75">
      <c r="A213" s="106"/>
      <c r="B213" s="223"/>
      <c r="C213" s="107"/>
      <c r="D213" s="112" t="s">
        <v>531</v>
      </c>
      <c r="E213" s="178"/>
      <c r="F213" s="162"/>
      <c r="G213" s="190"/>
      <c r="H213" s="110"/>
      <c r="I213" s="132"/>
      <c r="K213" s="7"/>
    </row>
    <row r="214" spans="1:11" ht="12.75">
      <c r="A214" s="106"/>
      <c r="B214" s="223"/>
      <c r="C214" s="107"/>
      <c r="D214" s="112" t="s">
        <v>532</v>
      </c>
      <c r="E214" s="178"/>
      <c r="F214" s="162"/>
      <c r="G214" s="190"/>
      <c r="H214" s="110"/>
      <c r="I214" s="132"/>
      <c r="K214" s="7"/>
    </row>
    <row r="215" spans="1:11" ht="25.5">
      <c r="A215" s="106">
        <f>A209+1</f>
        <v>80</v>
      </c>
      <c r="B215" s="223" t="s">
        <v>519</v>
      </c>
      <c r="C215" s="107" t="s">
        <v>147</v>
      </c>
      <c r="D215" s="108" t="s">
        <v>518</v>
      </c>
      <c r="E215" s="109" t="s">
        <v>238</v>
      </c>
      <c r="F215" s="162">
        <f>SUM(E216:E218)</f>
        <v>47.809999999999995</v>
      </c>
      <c r="G215" s="190"/>
      <c r="H215" s="110">
        <f>F215*G215</f>
        <v>0</v>
      </c>
      <c r="I215" s="70" t="s">
        <v>357</v>
      </c>
      <c r="K215" s="7"/>
    </row>
    <row r="216" spans="1:11" ht="12.75">
      <c r="A216" s="106"/>
      <c r="B216" s="223"/>
      <c r="C216" s="107"/>
      <c r="D216" s="112" t="s">
        <v>533</v>
      </c>
      <c r="E216" s="178">
        <f>0.96+2.09*2+(0.8+2.15*2)*2</f>
        <v>15.34</v>
      </c>
      <c r="F216" s="162"/>
      <c r="G216" s="190"/>
      <c r="H216" s="110"/>
      <c r="I216" s="132"/>
      <c r="K216" s="7"/>
    </row>
    <row r="217" spans="1:11" ht="12.75">
      <c r="A217" s="106"/>
      <c r="B217" s="223"/>
      <c r="C217" s="107"/>
      <c r="D217" s="112" t="s">
        <v>534</v>
      </c>
      <c r="E217" s="178">
        <f>0.9+2.15*2+0.7+2.05*2+0.5+0.72*2+1.14+1.87*2</f>
        <v>16.82</v>
      </c>
      <c r="F217" s="162"/>
      <c r="G217" s="190"/>
      <c r="H217" s="110"/>
      <c r="I217" s="132"/>
      <c r="K217" s="7"/>
    </row>
    <row r="218" spans="1:11" ht="12.75">
      <c r="A218" s="106"/>
      <c r="B218" s="223"/>
      <c r="C218" s="107"/>
      <c r="D218" s="112" t="s">
        <v>535</v>
      </c>
      <c r="E218" s="178">
        <f>(0.9+2.15*2)*2+1.49+1.88*2</f>
        <v>15.65</v>
      </c>
      <c r="F218" s="162"/>
      <c r="G218" s="190"/>
      <c r="H218" s="110"/>
      <c r="I218" s="132"/>
      <c r="K218" s="7"/>
    </row>
    <row r="219" spans="1:11" ht="12.75">
      <c r="A219" s="106"/>
      <c r="B219" s="223"/>
      <c r="C219" s="107"/>
      <c r="D219" s="112" t="s">
        <v>531</v>
      </c>
      <c r="E219" s="178"/>
      <c r="F219" s="162"/>
      <c r="G219" s="190"/>
      <c r="H219" s="110"/>
      <c r="I219" s="132"/>
      <c r="K219" s="7"/>
    </row>
    <row r="220" spans="1:11" ht="12.75">
      <c r="A220" s="106"/>
      <c r="B220" s="223"/>
      <c r="C220" s="107"/>
      <c r="D220" s="112" t="s">
        <v>532</v>
      </c>
      <c r="E220" s="178"/>
      <c r="F220" s="162"/>
      <c r="G220" s="190"/>
      <c r="H220" s="110"/>
      <c r="I220" s="132"/>
      <c r="K220" s="7"/>
    </row>
    <row r="221" spans="1:9" ht="25.5">
      <c r="A221" s="106">
        <f>A197+1</f>
        <v>78</v>
      </c>
      <c r="B221" s="223" t="s">
        <v>131</v>
      </c>
      <c r="C221" s="138" t="s">
        <v>401</v>
      </c>
      <c r="D221" s="108" t="s">
        <v>130</v>
      </c>
      <c r="E221" s="109" t="s">
        <v>235</v>
      </c>
      <c r="F221" s="162">
        <f>+F222+F223</f>
        <v>35.76200000000001</v>
      </c>
      <c r="G221" s="190"/>
      <c r="H221" s="110">
        <f>F221*G221</f>
        <v>0</v>
      </c>
      <c r="I221" s="70" t="s">
        <v>357</v>
      </c>
    </row>
    <row r="222" spans="1:9" ht="25.5">
      <c r="A222" s="106">
        <f>A221+1</f>
        <v>79</v>
      </c>
      <c r="B222" s="223" t="s">
        <v>134</v>
      </c>
      <c r="C222" s="107" t="s">
        <v>373</v>
      </c>
      <c r="D222" s="108" t="s">
        <v>133</v>
      </c>
      <c r="E222" s="109" t="s">
        <v>235</v>
      </c>
      <c r="F222" s="162">
        <f>3.7*0.6+0.1</f>
        <v>2.3200000000000003</v>
      </c>
      <c r="G222" s="190"/>
      <c r="H222" s="110">
        <f>F222*G222</f>
        <v>0</v>
      </c>
      <c r="I222" s="70" t="s">
        <v>357</v>
      </c>
    </row>
    <row r="223" spans="1:9" ht="38.25">
      <c r="A223" s="106">
        <f>A222+1</f>
        <v>80</v>
      </c>
      <c r="B223" s="223" t="s">
        <v>135</v>
      </c>
      <c r="C223" s="107" t="s">
        <v>373</v>
      </c>
      <c r="D223" s="108" t="s">
        <v>136</v>
      </c>
      <c r="E223" s="109" t="s">
        <v>235</v>
      </c>
      <c r="F223" s="162">
        <f>+E224+E225</f>
        <v>33.44200000000001</v>
      </c>
      <c r="G223" s="190"/>
      <c r="H223" s="110">
        <f>F223*G223</f>
        <v>0</v>
      </c>
      <c r="I223" s="70" t="s">
        <v>357</v>
      </c>
    </row>
    <row r="224" spans="1:9" ht="12.75">
      <c r="A224" s="106"/>
      <c r="B224" s="223"/>
      <c r="C224" s="107"/>
      <c r="D224" s="112" t="s">
        <v>39</v>
      </c>
      <c r="E224" s="178">
        <f>6.66*2.6-0.8*2.15-0.6*1.1+(2*1.1+0.6)*0.15+0.83*0.05</f>
        <v>15.3975</v>
      </c>
      <c r="F224" s="162"/>
      <c r="G224" s="190"/>
      <c r="H224" s="110"/>
      <c r="I224" s="70"/>
    </row>
    <row r="225" spans="1:9" ht="12.75">
      <c r="A225" s="106"/>
      <c r="B225" s="223"/>
      <c r="C225" s="107"/>
      <c r="D225" s="112" t="s">
        <v>38</v>
      </c>
      <c r="E225" s="178">
        <f>8.22*2.4-0.8*2.15+0.73*0.05</f>
        <v>18.044500000000003</v>
      </c>
      <c r="F225" s="162"/>
      <c r="G225" s="190"/>
      <c r="H225" s="110"/>
      <c r="I225" s="70"/>
    </row>
    <row r="226" spans="1:9" ht="12.75">
      <c r="A226" s="106">
        <f>A223+1</f>
        <v>81</v>
      </c>
      <c r="B226" s="223" t="s">
        <v>536</v>
      </c>
      <c r="C226" s="107"/>
      <c r="D226" s="108" t="s">
        <v>444</v>
      </c>
      <c r="E226" s="109" t="s">
        <v>235</v>
      </c>
      <c r="F226" s="195">
        <f>+F222</f>
        <v>2.3200000000000003</v>
      </c>
      <c r="G226" s="209"/>
      <c r="H226" s="110">
        <f aca="true" t="shared" si="15" ref="H226:H238">F226*G226</f>
        <v>0</v>
      </c>
      <c r="I226" s="70" t="s">
        <v>357</v>
      </c>
    </row>
    <row r="227" spans="1:9" ht="25.5">
      <c r="A227" s="106">
        <f>A226+1</f>
        <v>82</v>
      </c>
      <c r="B227" s="223"/>
      <c r="C227" s="128" t="s">
        <v>374</v>
      </c>
      <c r="D227" s="129" t="s">
        <v>35</v>
      </c>
      <c r="E227" s="130" t="s">
        <v>235</v>
      </c>
      <c r="F227" s="167">
        <f>1.1*(F223-(6.66-0.8+8.22-0.8)*0.4)</f>
        <v>30.94300000000001</v>
      </c>
      <c r="G227" s="210"/>
      <c r="H227" s="131">
        <f t="shared" si="15"/>
        <v>0</v>
      </c>
      <c r="I227" s="70" t="s">
        <v>357</v>
      </c>
    </row>
    <row r="228" spans="1:9" ht="25.5">
      <c r="A228" s="106">
        <f>A227+1</f>
        <v>83</v>
      </c>
      <c r="B228" s="223"/>
      <c r="C228" s="128" t="s">
        <v>374</v>
      </c>
      <c r="D228" s="129" t="s">
        <v>37</v>
      </c>
      <c r="E228" s="130" t="s">
        <v>237</v>
      </c>
      <c r="F228" s="205">
        <f>ROUND(+((6.66-0.8+8.22-0.8)/0.6)*1.1,0)</f>
        <v>24</v>
      </c>
      <c r="G228" s="210"/>
      <c r="H228" s="131">
        <f t="shared" si="15"/>
        <v>0</v>
      </c>
      <c r="I228" s="70" t="s">
        <v>357</v>
      </c>
    </row>
    <row r="229" spans="1:9" ht="25.5">
      <c r="A229" s="106">
        <f>A228+1</f>
        <v>84</v>
      </c>
      <c r="B229" s="223"/>
      <c r="C229" s="128" t="s">
        <v>375</v>
      </c>
      <c r="D229" s="129" t="s">
        <v>36</v>
      </c>
      <c r="E229" s="130" t="s">
        <v>235</v>
      </c>
      <c r="F229" s="167">
        <f>1.1*F222</f>
        <v>2.5520000000000005</v>
      </c>
      <c r="G229" s="210"/>
      <c r="H229" s="131">
        <f t="shared" si="15"/>
        <v>0</v>
      </c>
      <c r="I229" s="70" t="s">
        <v>357</v>
      </c>
    </row>
    <row r="230" spans="1:9" ht="12.75">
      <c r="A230" s="106">
        <f>A229+1</f>
        <v>85</v>
      </c>
      <c r="B230" s="223" t="s">
        <v>137</v>
      </c>
      <c r="C230" s="107" t="s">
        <v>373</v>
      </c>
      <c r="D230" s="108" t="s">
        <v>138</v>
      </c>
      <c r="E230" s="109" t="s">
        <v>238</v>
      </c>
      <c r="F230" s="162">
        <f>(2*0.6+1.52)+(0.73+0.85+0.61*2+2*1.1)+(2*2.6+2.4+1.2)</f>
        <v>16.52</v>
      </c>
      <c r="G230" s="209"/>
      <c r="H230" s="110">
        <f t="shared" si="15"/>
        <v>0</v>
      </c>
      <c r="I230" s="70" t="s">
        <v>357</v>
      </c>
    </row>
    <row r="231" spans="1:11" ht="25.5">
      <c r="A231" s="106">
        <f aca="true" t="shared" si="16" ref="A231:A243">A230+1</f>
        <v>86</v>
      </c>
      <c r="B231" s="223"/>
      <c r="C231" s="128" t="s">
        <v>376</v>
      </c>
      <c r="D231" s="129" t="s">
        <v>82</v>
      </c>
      <c r="E231" s="130" t="s">
        <v>238</v>
      </c>
      <c r="F231" s="167">
        <v>3</v>
      </c>
      <c r="G231" s="210"/>
      <c r="H231" s="131">
        <f t="shared" si="15"/>
        <v>0</v>
      </c>
      <c r="I231" s="70" t="s">
        <v>357</v>
      </c>
      <c r="K231" s="193" t="s">
        <v>538</v>
      </c>
    </row>
    <row r="232" spans="1:11" ht="25.5">
      <c r="A232" s="106">
        <f>A231+1</f>
        <v>87</v>
      </c>
      <c r="B232" s="223"/>
      <c r="C232" s="128" t="s">
        <v>376</v>
      </c>
      <c r="D232" s="129" t="s">
        <v>83</v>
      </c>
      <c r="E232" s="130" t="s">
        <v>238</v>
      </c>
      <c r="F232" s="167">
        <v>15</v>
      </c>
      <c r="G232" s="210"/>
      <c r="H232" s="131">
        <f t="shared" si="15"/>
        <v>0</v>
      </c>
      <c r="I232" s="70" t="s">
        <v>357</v>
      </c>
      <c r="K232" s="193" t="s">
        <v>537</v>
      </c>
    </row>
    <row r="233" spans="1:9" ht="12.75">
      <c r="A233" s="106">
        <f>A232+1</f>
        <v>88</v>
      </c>
      <c r="B233" s="223" t="s">
        <v>139</v>
      </c>
      <c r="C233" s="107" t="s">
        <v>373</v>
      </c>
      <c r="D233" s="108" t="s">
        <v>140</v>
      </c>
      <c r="E233" s="109" t="s">
        <v>235</v>
      </c>
      <c r="F233" s="162">
        <f>(0.95+0.9+0.95)*2+(8.22-2.7-0.8+6.66-0.8)*0.1</f>
        <v>6.6579999999999995</v>
      </c>
      <c r="G233" s="190"/>
      <c r="H233" s="110">
        <f t="shared" si="15"/>
        <v>0</v>
      </c>
      <c r="I233" s="70" t="s">
        <v>357</v>
      </c>
    </row>
    <row r="234" spans="1:9" ht="12.75">
      <c r="A234" s="106">
        <f t="shared" si="16"/>
        <v>89</v>
      </c>
      <c r="B234" s="223"/>
      <c r="C234" s="128" t="s">
        <v>376</v>
      </c>
      <c r="D234" s="129" t="s">
        <v>282</v>
      </c>
      <c r="E234" s="130" t="s">
        <v>249</v>
      </c>
      <c r="F234" s="166">
        <f>+F233*1.5</f>
        <v>9.986999999999998</v>
      </c>
      <c r="G234" s="210"/>
      <c r="H234" s="131">
        <f t="shared" si="15"/>
        <v>0</v>
      </c>
      <c r="I234" s="70" t="s">
        <v>357</v>
      </c>
    </row>
    <row r="235" spans="1:9" ht="12.75">
      <c r="A235" s="106">
        <f t="shared" si="16"/>
        <v>90</v>
      </c>
      <c r="B235" s="223" t="s">
        <v>141</v>
      </c>
      <c r="C235" s="128"/>
      <c r="D235" s="108" t="s">
        <v>17</v>
      </c>
      <c r="E235" s="109" t="s">
        <v>238</v>
      </c>
      <c r="F235" s="162">
        <f>F236</f>
        <v>4.4</v>
      </c>
      <c r="G235" s="190"/>
      <c r="H235" s="110">
        <f t="shared" si="15"/>
        <v>0</v>
      </c>
      <c r="I235" s="70" t="s">
        <v>357</v>
      </c>
    </row>
    <row r="236" spans="1:9" ht="25.5">
      <c r="A236" s="106">
        <f t="shared" si="16"/>
        <v>91</v>
      </c>
      <c r="B236" s="223"/>
      <c r="C236" s="128" t="s">
        <v>376</v>
      </c>
      <c r="D236" s="129" t="s">
        <v>369</v>
      </c>
      <c r="E236" s="130" t="s">
        <v>238</v>
      </c>
      <c r="F236" s="166">
        <f>2*2.2</f>
        <v>4.4</v>
      </c>
      <c r="G236" s="210"/>
      <c r="H236" s="131">
        <f t="shared" si="15"/>
        <v>0</v>
      </c>
      <c r="I236" s="70" t="s">
        <v>357</v>
      </c>
    </row>
    <row r="237" spans="1:9" ht="12.75">
      <c r="A237" s="106">
        <f t="shared" si="16"/>
        <v>92</v>
      </c>
      <c r="B237" s="223" t="s">
        <v>186</v>
      </c>
      <c r="C237" s="128"/>
      <c r="D237" s="108" t="s">
        <v>187</v>
      </c>
      <c r="E237" s="109" t="s">
        <v>235</v>
      </c>
      <c r="F237" s="198">
        <f>+F238</f>
        <v>153.34150000000002</v>
      </c>
      <c r="G237" s="209"/>
      <c r="H237" s="110">
        <f t="shared" si="15"/>
        <v>0</v>
      </c>
      <c r="I237" s="70" t="s">
        <v>357</v>
      </c>
    </row>
    <row r="238" spans="1:9" ht="12.75">
      <c r="A238" s="106">
        <f t="shared" si="16"/>
        <v>93</v>
      </c>
      <c r="B238" s="223" t="s">
        <v>144</v>
      </c>
      <c r="C238" s="128"/>
      <c r="D238" s="108" t="s">
        <v>143</v>
      </c>
      <c r="E238" s="109" t="s">
        <v>235</v>
      </c>
      <c r="F238" s="162">
        <f>+E239+E240+E241</f>
        <v>153.34150000000002</v>
      </c>
      <c r="G238" s="190"/>
      <c r="H238" s="110">
        <f t="shared" si="15"/>
        <v>0</v>
      </c>
      <c r="I238" s="70" t="s">
        <v>357</v>
      </c>
    </row>
    <row r="239" spans="1:11" ht="12.75">
      <c r="A239" s="106">
        <f t="shared" si="16"/>
        <v>94</v>
      </c>
      <c r="B239" s="223"/>
      <c r="C239" s="107"/>
      <c r="D239" s="112" t="s">
        <v>182</v>
      </c>
      <c r="E239" s="178">
        <f>+F191+F132</f>
        <v>102.20670000000001</v>
      </c>
      <c r="F239" s="198"/>
      <c r="G239" s="190"/>
      <c r="H239" s="110"/>
      <c r="I239" s="70"/>
      <c r="K239" s="7"/>
    </row>
    <row r="240" spans="1:11" ht="12.75">
      <c r="A240" s="106"/>
      <c r="B240" s="223"/>
      <c r="C240" s="107"/>
      <c r="D240" s="112" t="s">
        <v>181</v>
      </c>
      <c r="E240" s="178">
        <f>+F147+F149+F156+F132</f>
        <v>22.834799999999998</v>
      </c>
      <c r="F240" s="198"/>
      <c r="G240" s="190"/>
      <c r="H240" s="110"/>
      <c r="I240" s="70"/>
      <c r="K240" s="7"/>
    </row>
    <row r="241" spans="1:11" ht="12.75">
      <c r="A241" s="106"/>
      <c r="B241" s="223"/>
      <c r="C241" s="107"/>
      <c r="D241" s="112" t="s">
        <v>183</v>
      </c>
      <c r="E241" s="178">
        <f>+F197</f>
        <v>28.3</v>
      </c>
      <c r="F241" s="198"/>
      <c r="G241" s="190"/>
      <c r="H241" s="110"/>
      <c r="I241" s="70"/>
      <c r="K241" s="7"/>
    </row>
    <row r="242" spans="1:11" ht="12.75">
      <c r="A242" s="106">
        <f>A238+1</f>
        <v>94</v>
      </c>
      <c r="B242" s="223"/>
      <c r="C242" s="107"/>
      <c r="D242" s="108" t="s">
        <v>367</v>
      </c>
      <c r="E242" s="109" t="s">
        <v>234</v>
      </c>
      <c r="F242" s="162">
        <v>1</v>
      </c>
      <c r="G242" s="190"/>
      <c r="H242" s="110">
        <f>F242*G242</f>
        <v>0</v>
      </c>
      <c r="I242" s="70" t="s">
        <v>357</v>
      </c>
      <c r="K242" s="7"/>
    </row>
    <row r="243" spans="1:9" ht="13.5" thickBot="1">
      <c r="A243" s="106">
        <f t="shared" si="16"/>
        <v>95</v>
      </c>
      <c r="B243" s="223"/>
      <c r="C243" s="107"/>
      <c r="D243" s="124" t="s">
        <v>265</v>
      </c>
      <c r="E243" s="109" t="s">
        <v>243</v>
      </c>
      <c r="F243" s="162">
        <f>SUM(H180,H181,H182,H183,H184,H185,H191,H197,H209,H221,H227:H229,H231:H232,H234,H236,H238)</f>
        <v>0</v>
      </c>
      <c r="G243" s="211"/>
      <c r="H243" s="110">
        <f>F243*G243</f>
        <v>0</v>
      </c>
      <c r="I243" s="70" t="s">
        <v>357</v>
      </c>
    </row>
    <row r="244" spans="1:9" ht="13.5" thickBot="1">
      <c r="A244" s="106"/>
      <c r="B244" s="240"/>
      <c r="C244" s="107"/>
      <c r="D244" s="125" t="s">
        <v>236</v>
      </c>
      <c r="E244" s="126"/>
      <c r="F244" s="165"/>
      <c r="G244" s="127"/>
      <c r="H244" s="118">
        <f>SUBTOTAL(9,H168:H243)</f>
        <v>0</v>
      </c>
      <c r="I244" s="70"/>
    </row>
    <row r="245" spans="1:9" ht="12.75">
      <c r="A245" s="106"/>
      <c r="B245" s="223"/>
      <c r="C245" s="107"/>
      <c r="D245" s="119"/>
      <c r="E245" s="120"/>
      <c r="F245" s="150"/>
      <c r="G245" s="49"/>
      <c r="H245" s="121"/>
      <c r="I245" s="70"/>
    </row>
    <row r="246" spans="1:9" ht="16.5">
      <c r="A246" s="106"/>
      <c r="B246" s="223"/>
      <c r="C246" s="122" t="s">
        <v>257</v>
      </c>
      <c r="D246" s="104" t="s">
        <v>277</v>
      </c>
      <c r="E246" s="104"/>
      <c r="F246" s="104"/>
      <c r="G246" s="104"/>
      <c r="H246" s="104"/>
      <c r="I246" s="70"/>
    </row>
    <row r="247" spans="1:9" ht="87.75" customHeight="1">
      <c r="A247" s="106"/>
      <c r="B247" s="223"/>
      <c r="C247" s="103"/>
      <c r="D247" s="303" t="s">
        <v>290</v>
      </c>
      <c r="E247" s="303"/>
      <c r="F247" s="303"/>
      <c r="G247" s="186"/>
      <c r="H247" s="186"/>
      <c r="I247" s="70"/>
    </row>
    <row r="248" spans="1:9" ht="12.75">
      <c r="A248" s="106">
        <f>A243+1</f>
        <v>96</v>
      </c>
      <c r="B248" s="223" t="s">
        <v>168</v>
      </c>
      <c r="C248" s="107" t="s">
        <v>719</v>
      </c>
      <c r="D248" s="108" t="s">
        <v>167</v>
      </c>
      <c r="E248" s="109" t="s">
        <v>237</v>
      </c>
      <c r="F248" s="162">
        <f>+F254+F255+F256+F257</f>
        <v>4</v>
      </c>
      <c r="G248" s="190"/>
      <c r="H248" s="110">
        <f>F248*G248</f>
        <v>0</v>
      </c>
      <c r="I248" s="70" t="s">
        <v>357</v>
      </c>
    </row>
    <row r="249" spans="1:8" ht="12.75">
      <c r="A249" s="106"/>
      <c r="B249" s="223"/>
      <c r="C249" s="180"/>
      <c r="D249" s="135" t="s">
        <v>572</v>
      </c>
      <c r="E249" s="136"/>
      <c r="F249" s="167"/>
      <c r="G249" s="210"/>
      <c r="H249" s="137"/>
    </row>
    <row r="250" spans="1:8" ht="12.75">
      <c r="A250" s="106"/>
      <c r="B250" s="223"/>
      <c r="C250" s="180"/>
      <c r="D250" s="135" t="s">
        <v>558</v>
      </c>
      <c r="E250" s="136"/>
      <c r="F250" s="167"/>
      <c r="G250" s="210"/>
      <c r="H250" s="137"/>
    </row>
    <row r="251" spans="1:8" ht="12.75">
      <c r="A251" s="106"/>
      <c r="B251" s="223"/>
      <c r="C251" s="180"/>
      <c r="D251" s="135" t="s">
        <v>559</v>
      </c>
      <c r="E251" s="136"/>
      <c r="F251" s="167"/>
      <c r="G251" s="210"/>
      <c r="H251" s="137"/>
    </row>
    <row r="252" spans="1:8" ht="12.75">
      <c r="A252" s="106"/>
      <c r="B252" s="223"/>
      <c r="C252" s="180"/>
      <c r="D252" s="135" t="s">
        <v>660</v>
      </c>
      <c r="E252" s="136"/>
      <c r="F252" s="167"/>
      <c r="G252" s="210"/>
      <c r="H252" s="137"/>
    </row>
    <row r="253" spans="1:8" ht="12.75">
      <c r="A253" s="106"/>
      <c r="B253" s="223"/>
      <c r="C253" s="180"/>
      <c r="D253" s="135" t="s">
        <v>560</v>
      </c>
      <c r="E253" s="136"/>
      <c r="F253" s="167"/>
      <c r="G253" s="210"/>
      <c r="H253" s="137"/>
    </row>
    <row r="254" spans="1:9" ht="25.5">
      <c r="A254" s="106">
        <f>A248+1</f>
        <v>97</v>
      </c>
      <c r="B254" s="223"/>
      <c r="C254" s="180" t="s">
        <v>291</v>
      </c>
      <c r="D254" s="135" t="s">
        <v>194</v>
      </c>
      <c r="E254" s="136" t="s">
        <v>237</v>
      </c>
      <c r="F254" s="167">
        <v>1</v>
      </c>
      <c r="G254" s="210"/>
      <c r="H254" s="137">
        <f aca="true" t="shared" si="17" ref="H254:H263">F254*G254</f>
        <v>0</v>
      </c>
      <c r="I254" s="28" t="s">
        <v>357</v>
      </c>
    </row>
    <row r="255" spans="1:9" ht="25.5">
      <c r="A255" s="106">
        <f>A254+1</f>
        <v>98</v>
      </c>
      <c r="B255" s="223"/>
      <c r="C255" s="180" t="s">
        <v>350</v>
      </c>
      <c r="D255" s="135" t="s">
        <v>195</v>
      </c>
      <c r="E255" s="136" t="s">
        <v>237</v>
      </c>
      <c r="F255" s="167">
        <v>1</v>
      </c>
      <c r="G255" s="210"/>
      <c r="H255" s="137">
        <f t="shared" si="17"/>
        <v>0</v>
      </c>
      <c r="I255" s="28" t="s">
        <v>357</v>
      </c>
    </row>
    <row r="256" spans="1:9" ht="25.5">
      <c r="A256" s="106">
        <f>A255+1</f>
        <v>99</v>
      </c>
      <c r="B256" s="223"/>
      <c r="C256" s="180" t="s">
        <v>379</v>
      </c>
      <c r="D256" s="135" t="s">
        <v>196</v>
      </c>
      <c r="E256" s="136" t="s">
        <v>237</v>
      </c>
      <c r="F256" s="167">
        <v>1</v>
      </c>
      <c r="G256" s="210"/>
      <c r="H256" s="137">
        <f t="shared" si="17"/>
        <v>0</v>
      </c>
      <c r="I256" s="28" t="s">
        <v>357</v>
      </c>
    </row>
    <row r="257" spans="1:9" ht="25.5">
      <c r="A257" s="106">
        <f>A256+1</f>
        <v>100</v>
      </c>
      <c r="B257" s="223"/>
      <c r="C257" s="180" t="s">
        <v>13</v>
      </c>
      <c r="D257" s="135" t="s">
        <v>539</v>
      </c>
      <c r="E257" s="136" t="s">
        <v>237</v>
      </c>
      <c r="F257" s="167">
        <v>1</v>
      </c>
      <c r="G257" s="210"/>
      <c r="H257" s="137">
        <f t="shared" si="17"/>
        <v>0</v>
      </c>
      <c r="I257" s="28" t="s">
        <v>357</v>
      </c>
    </row>
    <row r="258" spans="1:9" ht="12.75">
      <c r="A258" s="106">
        <f aca="true" t="shared" si="18" ref="A258:A264">A257+1</f>
        <v>101</v>
      </c>
      <c r="B258" s="223" t="s">
        <v>570</v>
      </c>
      <c r="C258" s="107" t="s">
        <v>571</v>
      </c>
      <c r="D258" s="108" t="s">
        <v>569</v>
      </c>
      <c r="E258" s="109" t="s">
        <v>237</v>
      </c>
      <c r="F258" s="162">
        <v>1</v>
      </c>
      <c r="G258" s="190"/>
      <c r="H258" s="110">
        <f>F258*G258</f>
        <v>0</v>
      </c>
      <c r="I258" s="70" t="s">
        <v>357</v>
      </c>
    </row>
    <row r="259" spans="1:11" ht="38.25">
      <c r="A259" s="106">
        <f t="shared" si="18"/>
        <v>102</v>
      </c>
      <c r="B259" s="223"/>
      <c r="C259" s="238" t="s">
        <v>14</v>
      </c>
      <c r="D259" s="135" t="s">
        <v>197</v>
      </c>
      <c r="E259" s="136" t="s">
        <v>237</v>
      </c>
      <c r="F259" s="167">
        <v>1</v>
      </c>
      <c r="G259" s="210"/>
      <c r="H259" s="137">
        <f t="shared" si="17"/>
        <v>0</v>
      </c>
      <c r="I259" s="28" t="s">
        <v>357</v>
      </c>
      <c r="K259" s="193" t="s">
        <v>540</v>
      </c>
    </row>
    <row r="260" spans="1:9" ht="12.75">
      <c r="A260" s="106">
        <f t="shared" si="18"/>
        <v>103</v>
      </c>
      <c r="B260" s="223" t="s">
        <v>657</v>
      </c>
      <c r="C260" s="107"/>
      <c r="D260" s="108" t="s">
        <v>656</v>
      </c>
      <c r="E260" s="109" t="s">
        <v>235</v>
      </c>
      <c r="F260" s="162">
        <f>0.62*2*2</f>
        <v>2.48</v>
      </c>
      <c r="G260" s="190"/>
      <c r="H260" s="110">
        <f t="shared" si="17"/>
        <v>0</v>
      </c>
      <c r="I260" s="70" t="s">
        <v>357</v>
      </c>
    </row>
    <row r="261" spans="1:9" ht="12.75">
      <c r="A261" s="106">
        <f t="shared" si="18"/>
        <v>104</v>
      </c>
      <c r="B261" s="223" t="s">
        <v>659</v>
      </c>
      <c r="C261" s="107"/>
      <c r="D261" s="108" t="s">
        <v>658</v>
      </c>
      <c r="E261" s="109" t="s">
        <v>235</v>
      </c>
      <c r="F261" s="162">
        <f>F260</f>
        <v>2.48</v>
      </c>
      <c r="G261" s="190"/>
      <c r="H261" s="110">
        <f t="shared" si="17"/>
        <v>0</v>
      </c>
      <c r="I261" s="70" t="s">
        <v>357</v>
      </c>
    </row>
    <row r="262" spans="1:9" ht="12.75">
      <c r="A262" s="106">
        <f t="shared" si="18"/>
        <v>105</v>
      </c>
      <c r="B262" s="223"/>
      <c r="C262" s="107" t="s">
        <v>562</v>
      </c>
      <c r="D262" s="108" t="s">
        <v>655</v>
      </c>
      <c r="E262" s="109" t="s">
        <v>237</v>
      </c>
      <c r="F262" s="162">
        <v>1</v>
      </c>
      <c r="G262" s="190"/>
      <c r="H262" s="110">
        <f>F262*G262</f>
        <v>0</v>
      </c>
      <c r="I262" s="70" t="s">
        <v>357</v>
      </c>
    </row>
    <row r="263" spans="1:9" ht="12.75">
      <c r="A263" s="106">
        <f t="shared" si="18"/>
        <v>106</v>
      </c>
      <c r="B263" s="223" t="s">
        <v>170</v>
      </c>
      <c r="C263" s="107" t="s">
        <v>247</v>
      </c>
      <c r="D263" s="108" t="s">
        <v>169</v>
      </c>
      <c r="E263" s="109" t="s">
        <v>237</v>
      </c>
      <c r="F263" s="162">
        <f>+F259+F257+F256+F255+F254</f>
        <v>5</v>
      </c>
      <c r="G263" s="190"/>
      <c r="H263" s="110">
        <f t="shared" si="17"/>
        <v>0</v>
      </c>
      <c r="I263" s="70" t="s">
        <v>357</v>
      </c>
    </row>
    <row r="264" spans="1:9" ht="25.5">
      <c r="A264" s="106">
        <f t="shared" si="18"/>
        <v>107</v>
      </c>
      <c r="B264" s="223"/>
      <c r="C264" s="107" t="s">
        <v>171</v>
      </c>
      <c r="D264" s="108" t="s">
        <v>193</v>
      </c>
      <c r="E264" s="109" t="s">
        <v>237</v>
      </c>
      <c r="F264" s="162">
        <v>1</v>
      </c>
      <c r="G264" s="190"/>
      <c r="H264" s="110">
        <f aca="true" t="shared" si="19" ref="H264:H276">F264*G264</f>
        <v>0</v>
      </c>
      <c r="I264" s="70" t="s">
        <v>357</v>
      </c>
    </row>
    <row r="265" spans="1:9" ht="38.25">
      <c r="A265" s="106">
        <f>A264+1</f>
        <v>108</v>
      </c>
      <c r="B265" s="223" t="s">
        <v>544</v>
      </c>
      <c r="C265" s="222" t="s">
        <v>199</v>
      </c>
      <c r="D265" s="108" t="s">
        <v>545</v>
      </c>
      <c r="E265" s="109" t="s">
        <v>235</v>
      </c>
      <c r="F265" s="162">
        <f>1.49*1.88</f>
        <v>2.8011999999999997</v>
      </c>
      <c r="G265" s="190"/>
      <c r="H265" s="110">
        <f t="shared" si="19"/>
        <v>0</v>
      </c>
      <c r="I265" s="70" t="s">
        <v>357</v>
      </c>
    </row>
    <row r="266" spans="1:9" ht="25.5">
      <c r="A266" s="106">
        <f>A265+1</f>
        <v>109</v>
      </c>
      <c r="B266" s="223" t="s">
        <v>541</v>
      </c>
      <c r="C266" s="222" t="s">
        <v>542</v>
      </c>
      <c r="D266" s="108" t="s">
        <v>543</v>
      </c>
      <c r="E266" s="109" t="s">
        <v>235</v>
      </c>
      <c r="F266" s="162">
        <f>1.47*1.87+0.5*0.72+0.61*1.1</f>
        <v>3.7798999999999996</v>
      </c>
      <c r="G266" s="190"/>
      <c r="H266" s="110">
        <f t="shared" si="19"/>
        <v>0</v>
      </c>
      <c r="I266" s="70" t="s">
        <v>357</v>
      </c>
    </row>
    <row r="267" spans="1:11" ht="16.5">
      <c r="A267" s="106">
        <f>A266+1</f>
        <v>110</v>
      </c>
      <c r="B267" s="223"/>
      <c r="C267" s="107" t="s">
        <v>147</v>
      </c>
      <c r="D267" s="108" t="s">
        <v>200</v>
      </c>
      <c r="E267" s="109" t="s">
        <v>237</v>
      </c>
      <c r="F267" s="162">
        <v>1</v>
      </c>
      <c r="G267" s="190"/>
      <c r="H267" s="110">
        <f t="shared" si="19"/>
        <v>0</v>
      </c>
      <c r="I267" s="70" t="s">
        <v>363</v>
      </c>
      <c r="K267" s="193" t="s">
        <v>546</v>
      </c>
    </row>
    <row r="268" spans="1:22" ht="25.5">
      <c r="A268" s="106">
        <f>A267+1</f>
        <v>111</v>
      </c>
      <c r="B268" s="223" t="s">
        <v>547</v>
      </c>
      <c r="C268" s="222" t="s">
        <v>198</v>
      </c>
      <c r="D268" s="108" t="s">
        <v>548</v>
      </c>
      <c r="E268" s="109" t="s">
        <v>238</v>
      </c>
      <c r="F268" s="162">
        <v>2.75</v>
      </c>
      <c r="G268" s="190"/>
      <c r="H268" s="110">
        <f t="shared" si="19"/>
        <v>0</v>
      </c>
      <c r="I268" s="177" t="s">
        <v>363</v>
      </c>
      <c r="J268" s="182"/>
      <c r="K268" s="1"/>
      <c r="O268" s="3"/>
      <c r="R268" s="9"/>
      <c r="V268" s="183"/>
    </row>
    <row r="269" spans="1:22" ht="12.75">
      <c r="A269" s="106"/>
      <c r="B269" s="223" t="s">
        <v>550</v>
      </c>
      <c r="C269" s="222" t="s">
        <v>147</v>
      </c>
      <c r="D269" s="108" t="s">
        <v>549</v>
      </c>
      <c r="E269" s="109" t="s">
        <v>235</v>
      </c>
      <c r="F269" s="162">
        <f>(0.1+0.08)*2*F268</f>
        <v>0.99</v>
      </c>
      <c r="G269" s="190"/>
      <c r="H269" s="110">
        <f t="shared" si="19"/>
        <v>0</v>
      </c>
      <c r="I269" s="177" t="s">
        <v>363</v>
      </c>
      <c r="J269" s="182"/>
      <c r="K269" s="1"/>
      <c r="O269" s="3"/>
      <c r="R269" s="9"/>
      <c r="V269" s="183"/>
    </row>
    <row r="270" spans="1:9" ht="25.5">
      <c r="A270" s="106">
        <f>A268+1</f>
        <v>112</v>
      </c>
      <c r="B270" s="223" t="s">
        <v>172</v>
      </c>
      <c r="C270" s="107" t="s">
        <v>247</v>
      </c>
      <c r="D270" s="108" t="s">
        <v>587</v>
      </c>
      <c r="E270" s="109" t="s">
        <v>243</v>
      </c>
      <c r="F270" s="162">
        <f>G271</f>
        <v>0</v>
      </c>
      <c r="G270" s="194"/>
      <c r="H270" s="110">
        <f t="shared" si="19"/>
        <v>0</v>
      </c>
      <c r="I270" s="70" t="s">
        <v>363</v>
      </c>
    </row>
    <row r="271" spans="1:11" ht="25.5">
      <c r="A271" s="106">
        <f>A270+1</f>
        <v>113</v>
      </c>
      <c r="B271" s="223"/>
      <c r="C271" s="128" t="s">
        <v>246</v>
      </c>
      <c r="D271" s="129" t="s">
        <v>443</v>
      </c>
      <c r="E271" s="130" t="s">
        <v>234</v>
      </c>
      <c r="F271" s="197">
        <v>1</v>
      </c>
      <c r="G271" s="210"/>
      <c r="H271" s="131">
        <f t="shared" si="19"/>
        <v>0</v>
      </c>
      <c r="I271" s="70" t="s">
        <v>363</v>
      </c>
      <c r="K271" s="1"/>
    </row>
    <row r="272" spans="1:22" ht="25.5">
      <c r="A272" s="106">
        <f>A271+1</f>
        <v>114</v>
      </c>
      <c r="B272" s="223"/>
      <c r="C272" s="107" t="s">
        <v>147</v>
      </c>
      <c r="D272" s="108" t="s">
        <v>552</v>
      </c>
      <c r="E272" s="109" t="s">
        <v>237</v>
      </c>
      <c r="F272" s="162">
        <v>1</v>
      </c>
      <c r="G272" s="190"/>
      <c r="H272" s="110">
        <f t="shared" si="19"/>
        <v>0</v>
      </c>
      <c r="I272" s="177" t="s">
        <v>363</v>
      </c>
      <c r="J272" s="182"/>
      <c r="K272" s="193" t="s">
        <v>556</v>
      </c>
      <c r="O272" s="3"/>
      <c r="R272" s="9"/>
      <c r="V272" s="183"/>
    </row>
    <row r="273" spans="1:22" ht="25.5">
      <c r="A273" s="106">
        <f>A272+1</f>
        <v>115</v>
      </c>
      <c r="B273" s="223"/>
      <c r="C273" s="107" t="s">
        <v>147</v>
      </c>
      <c r="D273" s="108" t="s">
        <v>551</v>
      </c>
      <c r="E273" s="109" t="s">
        <v>237</v>
      </c>
      <c r="F273" s="162">
        <v>1</v>
      </c>
      <c r="G273" s="190"/>
      <c r="H273" s="110">
        <f t="shared" si="19"/>
        <v>0</v>
      </c>
      <c r="I273" s="177" t="s">
        <v>363</v>
      </c>
      <c r="J273" s="182"/>
      <c r="K273" s="193" t="s">
        <v>555</v>
      </c>
      <c r="O273" s="3"/>
      <c r="R273" s="9"/>
      <c r="V273" s="183"/>
    </row>
    <row r="274" spans="1:22" ht="25.5">
      <c r="A274" s="106">
        <f>A273+1</f>
        <v>116</v>
      </c>
      <c r="B274" s="223"/>
      <c r="C274" s="107" t="s">
        <v>147</v>
      </c>
      <c r="D274" s="108" t="s">
        <v>201</v>
      </c>
      <c r="E274" s="109" t="s">
        <v>237</v>
      </c>
      <c r="F274" s="162">
        <v>1</v>
      </c>
      <c r="G274" s="190"/>
      <c r="H274" s="110">
        <f t="shared" si="19"/>
        <v>0</v>
      </c>
      <c r="I274" s="177" t="s">
        <v>363</v>
      </c>
      <c r="J274" s="182"/>
      <c r="K274" s="193" t="s">
        <v>557</v>
      </c>
      <c r="O274" s="3"/>
      <c r="R274" s="9"/>
      <c r="V274" s="183"/>
    </row>
    <row r="275" spans="1:11" ht="25.5">
      <c r="A275" s="106">
        <f>A274+1</f>
        <v>117</v>
      </c>
      <c r="B275" s="216"/>
      <c r="C275" s="107" t="s">
        <v>147</v>
      </c>
      <c r="D275" s="108" t="s">
        <v>553</v>
      </c>
      <c r="E275" s="109" t="s">
        <v>237</v>
      </c>
      <c r="F275" s="162">
        <v>1</v>
      </c>
      <c r="G275" s="190"/>
      <c r="H275" s="110">
        <f t="shared" si="19"/>
        <v>0</v>
      </c>
      <c r="I275" s="219" t="s">
        <v>363</v>
      </c>
      <c r="K275" s="193" t="s">
        <v>554</v>
      </c>
    </row>
    <row r="276" spans="1:9" ht="13.5" thickBot="1">
      <c r="A276" s="106">
        <f>A274+1</f>
        <v>117</v>
      </c>
      <c r="B276" s="223"/>
      <c r="C276" s="107"/>
      <c r="D276" s="108" t="s">
        <v>262</v>
      </c>
      <c r="E276" s="133" t="s">
        <v>243</v>
      </c>
      <c r="F276" s="162">
        <f>SUM(H254:H264,H271:H274)+H267+H268+H275</f>
        <v>0</v>
      </c>
      <c r="G276" s="212"/>
      <c r="H276" s="134">
        <f t="shared" si="19"/>
        <v>0</v>
      </c>
      <c r="I276" s="70" t="s">
        <v>363</v>
      </c>
    </row>
    <row r="277" spans="1:8" ht="13.5" thickBot="1">
      <c r="A277" s="106"/>
      <c r="B277" s="223"/>
      <c r="C277" s="107"/>
      <c r="D277" s="125" t="s">
        <v>236</v>
      </c>
      <c r="E277" s="126"/>
      <c r="F277" s="165"/>
      <c r="G277" s="127"/>
      <c r="H277" s="118">
        <f>SUM(H248:H276)</f>
        <v>0</v>
      </c>
    </row>
    <row r="278" spans="1:11" ht="12.75">
      <c r="A278" s="106"/>
      <c r="B278" s="223"/>
      <c r="C278" s="107"/>
      <c r="D278" s="119"/>
      <c r="E278" s="120"/>
      <c r="F278" s="150"/>
      <c r="G278" s="49"/>
      <c r="H278" s="121"/>
      <c r="I278" s="70"/>
      <c r="K278" s="3" t="s">
        <v>377</v>
      </c>
    </row>
    <row r="279" spans="1:9" ht="16.5">
      <c r="A279" s="106"/>
      <c r="B279" s="223"/>
      <c r="C279" s="122" t="s">
        <v>258</v>
      </c>
      <c r="D279" s="104" t="s">
        <v>261</v>
      </c>
      <c r="E279" s="104"/>
      <c r="F279" s="104"/>
      <c r="G279" s="104"/>
      <c r="H279" s="104"/>
      <c r="I279" s="70"/>
    </row>
    <row r="280" spans="1:9" ht="90" customHeight="1">
      <c r="A280" s="106"/>
      <c r="B280" s="223"/>
      <c r="C280" s="103"/>
      <c r="D280" s="303" t="s">
        <v>290</v>
      </c>
      <c r="E280" s="303"/>
      <c r="F280" s="303"/>
      <c r="G280" s="186"/>
      <c r="H280" s="186"/>
      <c r="I280" s="70"/>
    </row>
    <row r="281" spans="1:9" ht="12.75">
      <c r="A281" s="106">
        <f>A276+1</f>
        <v>118</v>
      </c>
      <c r="B281" s="223" t="s">
        <v>173</v>
      </c>
      <c r="C281" s="107" t="s">
        <v>247</v>
      </c>
      <c r="D281" s="108" t="s">
        <v>398</v>
      </c>
      <c r="E281" s="114" t="s">
        <v>237</v>
      </c>
      <c r="F281" s="163">
        <f>SUM(F285,F286,F287)</f>
        <v>4</v>
      </c>
      <c r="G281" s="190"/>
      <c r="H281" s="115">
        <f aca="true" t="shared" si="20" ref="H281:H292">F281*G281</f>
        <v>0</v>
      </c>
      <c r="I281" s="177" t="s">
        <v>357</v>
      </c>
    </row>
    <row r="282" spans="1:9" ht="12.75">
      <c r="A282" s="106"/>
      <c r="B282" s="223"/>
      <c r="C282" s="128"/>
      <c r="D282" s="135" t="s">
        <v>561</v>
      </c>
      <c r="E282" s="136"/>
      <c r="F282" s="167"/>
      <c r="G282" s="214"/>
      <c r="H282" s="137"/>
      <c r="I282" s="177"/>
    </row>
    <row r="283" spans="1:9" ht="12.75">
      <c r="A283" s="106"/>
      <c r="B283" s="223"/>
      <c r="C283" s="128"/>
      <c r="D283" s="135" t="s">
        <v>566</v>
      </c>
      <c r="E283" s="291"/>
      <c r="F283" s="167"/>
      <c r="G283" s="239"/>
      <c r="H283" s="137"/>
      <c r="I283" s="177"/>
    </row>
    <row r="284" spans="1:9" ht="12.75">
      <c r="A284" s="106"/>
      <c r="B284" s="223"/>
      <c r="C284" s="128"/>
      <c r="D284" s="135" t="s">
        <v>567</v>
      </c>
      <c r="E284" s="292"/>
      <c r="F284" s="167"/>
      <c r="G284" s="214"/>
      <c r="H284" s="137"/>
      <c r="I284" s="177"/>
    </row>
    <row r="285" spans="1:9" ht="38.25">
      <c r="A285" s="106">
        <f>A281+1</f>
        <v>119</v>
      </c>
      <c r="B285" s="223"/>
      <c r="C285" s="128" t="s">
        <v>246</v>
      </c>
      <c r="D285" s="135" t="s">
        <v>563</v>
      </c>
      <c r="E285" s="136" t="s">
        <v>237</v>
      </c>
      <c r="F285" s="167">
        <v>1</v>
      </c>
      <c r="G285" s="214"/>
      <c r="H285" s="137">
        <f t="shared" si="20"/>
        <v>0</v>
      </c>
      <c r="I285" s="177" t="s">
        <v>357</v>
      </c>
    </row>
    <row r="286" spans="1:9" ht="38.25">
      <c r="A286" s="106">
        <f aca="true" t="shared" si="21" ref="A286:A292">A285+1</f>
        <v>120</v>
      </c>
      <c r="B286" s="223"/>
      <c r="C286" s="128" t="s">
        <v>246</v>
      </c>
      <c r="D286" s="135" t="s">
        <v>564</v>
      </c>
      <c r="E286" s="136" t="s">
        <v>237</v>
      </c>
      <c r="F286" s="167">
        <v>1</v>
      </c>
      <c r="G286" s="214"/>
      <c r="H286" s="137">
        <f>F286*G286</f>
        <v>0</v>
      </c>
      <c r="I286" s="177" t="s">
        <v>357</v>
      </c>
    </row>
    <row r="287" spans="1:9" ht="38.25">
      <c r="A287" s="106">
        <f t="shared" si="21"/>
        <v>121</v>
      </c>
      <c r="B287" s="223"/>
      <c r="C287" s="128" t="s">
        <v>246</v>
      </c>
      <c r="D287" s="135" t="s">
        <v>565</v>
      </c>
      <c r="E287" s="136" t="s">
        <v>237</v>
      </c>
      <c r="F287" s="167">
        <v>2</v>
      </c>
      <c r="G287" s="214"/>
      <c r="H287" s="137">
        <f t="shared" si="20"/>
        <v>0</v>
      </c>
      <c r="I287" s="177" t="s">
        <v>357</v>
      </c>
    </row>
    <row r="288" spans="1:9" ht="12.75">
      <c r="A288" s="106">
        <f t="shared" si="21"/>
        <v>122</v>
      </c>
      <c r="B288" s="223"/>
      <c r="C288" s="107" t="s">
        <v>562</v>
      </c>
      <c r="D288" s="108" t="s">
        <v>568</v>
      </c>
      <c r="E288" s="109" t="s">
        <v>237</v>
      </c>
      <c r="F288" s="195">
        <v>1</v>
      </c>
      <c r="G288" s="209"/>
      <c r="H288" s="115">
        <f t="shared" si="20"/>
        <v>0</v>
      </c>
      <c r="I288" s="70" t="s">
        <v>357</v>
      </c>
    </row>
    <row r="289" spans="1:9" ht="12.75">
      <c r="A289" s="106">
        <f t="shared" si="21"/>
        <v>123</v>
      </c>
      <c r="B289" s="223" t="s">
        <v>573</v>
      </c>
      <c r="C289" s="128"/>
      <c r="D289" s="108" t="s">
        <v>574</v>
      </c>
      <c r="E289" s="109" t="s">
        <v>249</v>
      </c>
      <c r="F289" s="195">
        <f>+F290+F291</f>
        <v>15.473999999999998</v>
      </c>
      <c r="G289" s="209"/>
      <c r="H289" s="110">
        <f t="shared" si="20"/>
        <v>0</v>
      </c>
      <c r="I289" s="70" t="s">
        <v>357</v>
      </c>
    </row>
    <row r="290" spans="1:11" ht="25.5">
      <c r="A290" s="106">
        <f t="shared" si="21"/>
        <v>124</v>
      </c>
      <c r="B290" s="223"/>
      <c r="C290" s="128" t="s">
        <v>246</v>
      </c>
      <c r="D290" s="129" t="s">
        <v>202</v>
      </c>
      <c r="E290" s="130" t="s">
        <v>249</v>
      </c>
      <c r="F290" s="197">
        <f>3.06*4.6</f>
        <v>14.075999999999999</v>
      </c>
      <c r="G290" s="215"/>
      <c r="H290" s="131">
        <f t="shared" si="20"/>
        <v>0</v>
      </c>
      <c r="I290" s="70" t="s">
        <v>357</v>
      </c>
      <c r="K290" s="193" t="s">
        <v>576</v>
      </c>
    </row>
    <row r="291" spans="1:11" ht="25.5">
      <c r="A291" s="106">
        <f t="shared" si="21"/>
        <v>125</v>
      </c>
      <c r="B291" s="223"/>
      <c r="C291" s="128" t="s">
        <v>246</v>
      </c>
      <c r="D291" s="129" t="s">
        <v>203</v>
      </c>
      <c r="E291" s="130" t="s">
        <v>249</v>
      </c>
      <c r="F291" s="197">
        <f>9.32*0.15</f>
        <v>1.398</v>
      </c>
      <c r="G291" s="215"/>
      <c r="H291" s="131">
        <f t="shared" si="20"/>
        <v>0</v>
      </c>
      <c r="I291" s="70" t="s">
        <v>357</v>
      </c>
      <c r="K291" s="193" t="s">
        <v>575</v>
      </c>
    </row>
    <row r="292" spans="1:9" ht="13.5" thickBot="1">
      <c r="A292" s="106">
        <f t="shared" si="21"/>
        <v>126</v>
      </c>
      <c r="B292" s="223"/>
      <c r="C292" s="107"/>
      <c r="D292" s="108" t="s">
        <v>262</v>
      </c>
      <c r="E292" s="133" t="s">
        <v>243</v>
      </c>
      <c r="F292" s="162">
        <f>+H285+H287+H286+H290+H291</f>
        <v>0</v>
      </c>
      <c r="G292" s="212"/>
      <c r="H292" s="134">
        <f t="shared" si="20"/>
        <v>0</v>
      </c>
      <c r="I292" s="70" t="s">
        <v>357</v>
      </c>
    </row>
    <row r="293" spans="1:8" ht="13.5" thickBot="1">
      <c r="A293" s="106"/>
      <c r="B293" s="223"/>
      <c r="C293" s="107"/>
      <c r="D293" s="125" t="s">
        <v>236</v>
      </c>
      <c r="E293" s="126"/>
      <c r="F293" s="165"/>
      <c r="G293" s="127"/>
      <c r="H293" s="118">
        <f>SUBTOTAL(9,H281:H292)</f>
        <v>0</v>
      </c>
    </row>
    <row r="294" spans="1:9" ht="12.75">
      <c r="A294" s="106"/>
      <c r="B294" s="223"/>
      <c r="C294" s="107"/>
      <c r="D294" s="119"/>
      <c r="E294" s="120"/>
      <c r="F294" s="150"/>
      <c r="G294" s="49"/>
      <c r="H294" s="121"/>
      <c r="I294" s="70"/>
    </row>
    <row r="295" spans="1:9" ht="16.5">
      <c r="A295" s="106"/>
      <c r="B295" s="223"/>
      <c r="C295" s="122" t="s">
        <v>259</v>
      </c>
      <c r="D295" s="104" t="s">
        <v>278</v>
      </c>
      <c r="E295" s="104"/>
      <c r="F295" s="104"/>
      <c r="G295" s="104"/>
      <c r="H295" s="104"/>
      <c r="I295" s="70"/>
    </row>
    <row r="296" spans="1:9" ht="72.75" customHeight="1">
      <c r="A296" s="106"/>
      <c r="B296" s="223"/>
      <c r="C296" s="103"/>
      <c r="D296" s="303" t="s">
        <v>284</v>
      </c>
      <c r="E296" s="303"/>
      <c r="F296" s="303"/>
      <c r="G296" s="186"/>
      <c r="H296" s="186"/>
      <c r="I296" s="70"/>
    </row>
    <row r="297" spans="1:9" ht="12.75">
      <c r="A297" s="106">
        <f>A292+1</f>
        <v>127</v>
      </c>
      <c r="B297" s="223" t="s">
        <v>578</v>
      </c>
      <c r="C297" s="107" t="s">
        <v>20</v>
      </c>
      <c r="D297" s="108" t="s">
        <v>577</v>
      </c>
      <c r="E297" s="109" t="s">
        <v>235</v>
      </c>
      <c r="F297" s="290">
        <v>3</v>
      </c>
      <c r="G297" s="190"/>
      <c r="H297" s="110">
        <f aca="true" t="shared" si="22" ref="H297:H309">F297*G297</f>
        <v>0</v>
      </c>
      <c r="I297" s="177" t="s">
        <v>357</v>
      </c>
    </row>
    <row r="298" spans="1:9" ht="12.75">
      <c r="A298" s="106">
        <f aca="true" t="shared" si="23" ref="A298:A315">A297+1</f>
        <v>128</v>
      </c>
      <c r="B298" s="223" t="s">
        <v>579</v>
      </c>
      <c r="C298" s="222" t="s">
        <v>20</v>
      </c>
      <c r="D298" s="108" t="s">
        <v>185</v>
      </c>
      <c r="E298" s="109" t="s">
        <v>412</v>
      </c>
      <c r="F298" s="290">
        <f>3*0.05</f>
        <v>0.15000000000000002</v>
      </c>
      <c r="G298" s="190"/>
      <c r="H298" s="110">
        <f t="shared" si="22"/>
        <v>0</v>
      </c>
      <c r="I298" s="177" t="s">
        <v>357</v>
      </c>
    </row>
    <row r="299" spans="1:9" ht="38.25">
      <c r="A299" s="106">
        <f t="shared" si="23"/>
        <v>129</v>
      </c>
      <c r="B299" s="223" t="s">
        <v>582</v>
      </c>
      <c r="C299" s="222" t="s">
        <v>20</v>
      </c>
      <c r="D299" s="108" t="s">
        <v>583</v>
      </c>
      <c r="E299" s="109" t="s">
        <v>235</v>
      </c>
      <c r="F299" s="290">
        <v>3</v>
      </c>
      <c r="G299" s="190"/>
      <c r="H299" s="110">
        <f t="shared" si="22"/>
        <v>0</v>
      </c>
      <c r="I299" s="177" t="s">
        <v>357</v>
      </c>
    </row>
    <row r="300" spans="1:9" ht="12.75">
      <c r="A300" s="106">
        <f t="shared" si="23"/>
        <v>130</v>
      </c>
      <c r="B300" s="223" t="s">
        <v>581</v>
      </c>
      <c r="C300" s="107" t="s">
        <v>20</v>
      </c>
      <c r="D300" s="108" t="s">
        <v>580</v>
      </c>
      <c r="E300" s="109" t="s">
        <v>235</v>
      </c>
      <c r="F300" s="162">
        <v>3</v>
      </c>
      <c r="G300" s="190"/>
      <c r="H300" s="110">
        <f t="shared" si="22"/>
        <v>0</v>
      </c>
      <c r="I300" s="219" t="s">
        <v>357</v>
      </c>
    </row>
    <row r="301" spans="1:9" ht="12.75">
      <c r="A301" s="106">
        <f t="shared" si="23"/>
        <v>131</v>
      </c>
      <c r="B301" s="223" t="s">
        <v>174</v>
      </c>
      <c r="C301" s="107" t="s">
        <v>51</v>
      </c>
      <c r="D301" s="108" t="s">
        <v>25</v>
      </c>
      <c r="E301" s="109" t="s">
        <v>235</v>
      </c>
      <c r="F301" s="162">
        <f>(2.5+1.1)*0.5</f>
        <v>1.8</v>
      </c>
      <c r="G301" s="190"/>
      <c r="H301" s="110">
        <f t="shared" si="22"/>
        <v>0</v>
      </c>
      <c r="I301" s="219" t="s">
        <v>357</v>
      </c>
    </row>
    <row r="302" spans="1:9" ht="25.5">
      <c r="A302" s="106">
        <f t="shared" si="23"/>
        <v>132</v>
      </c>
      <c r="B302" s="223" t="s">
        <v>29</v>
      </c>
      <c r="C302" s="107" t="s">
        <v>51</v>
      </c>
      <c r="D302" s="108" t="s">
        <v>26</v>
      </c>
      <c r="E302" s="109" t="s">
        <v>235</v>
      </c>
      <c r="F302" s="162">
        <f>(2.5+5.2)*0.1</f>
        <v>0.77</v>
      </c>
      <c r="G302" s="302"/>
      <c r="H302" s="110">
        <f t="shared" si="22"/>
        <v>0</v>
      </c>
      <c r="I302" s="219" t="s">
        <v>357</v>
      </c>
    </row>
    <row r="303" spans="1:9" ht="12.75">
      <c r="A303" s="106">
        <f t="shared" si="23"/>
        <v>133</v>
      </c>
      <c r="B303" s="223" t="s">
        <v>30</v>
      </c>
      <c r="C303" s="107" t="s">
        <v>51</v>
      </c>
      <c r="D303" s="108" t="s">
        <v>27</v>
      </c>
      <c r="E303" s="109" t="s">
        <v>235</v>
      </c>
      <c r="F303" s="198">
        <f>+(2.5+5.2+3)</f>
        <v>10.7</v>
      </c>
      <c r="G303" s="302"/>
      <c r="H303" s="110">
        <f t="shared" si="22"/>
        <v>0</v>
      </c>
      <c r="I303" s="219" t="s">
        <v>357</v>
      </c>
    </row>
    <row r="304" spans="1:9" ht="12.75">
      <c r="A304" s="106">
        <f t="shared" si="23"/>
        <v>134</v>
      </c>
      <c r="B304" s="216" t="s">
        <v>584</v>
      </c>
      <c r="C304" s="107" t="s">
        <v>585</v>
      </c>
      <c r="D304" s="108" t="s">
        <v>586</v>
      </c>
      <c r="E304" s="109" t="s">
        <v>235</v>
      </c>
      <c r="F304" s="162">
        <f>2.5+5.2</f>
        <v>7.7</v>
      </c>
      <c r="G304" s="190"/>
      <c r="H304" s="110">
        <f t="shared" si="22"/>
        <v>0</v>
      </c>
      <c r="I304" s="219" t="s">
        <v>357</v>
      </c>
    </row>
    <row r="305" spans="1:9" ht="25.5">
      <c r="A305" s="106">
        <f t="shared" si="23"/>
        <v>135</v>
      </c>
      <c r="B305" s="223" t="s">
        <v>31</v>
      </c>
      <c r="C305" s="107" t="s">
        <v>51</v>
      </c>
      <c r="D305" s="108" t="s">
        <v>28</v>
      </c>
      <c r="E305" s="109" t="s">
        <v>235</v>
      </c>
      <c r="F305" s="162">
        <f>+F304</f>
        <v>7.7</v>
      </c>
      <c r="G305" s="190"/>
      <c r="H305" s="110">
        <f t="shared" si="22"/>
        <v>0</v>
      </c>
      <c r="I305" s="219" t="s">
        <v>357</v>
      </c>
    </row>
    <row r="306" spans="1:9" ht="25.5">
      <c r="A306" s="106">
        <f t="shared" si="23"/>
        <v>136</v>
      </c>
      <c r="B306" s="223" t="s">
        <v>175</v>
      </c>
      <c r="C306" s="107" t="s">
        <v>280</v>
      </c>
      <c r="D306" s="108" t="s">
        <v>40</v>
      </c>
      <c r="E306" s="109" t="s">
        <v>235</v>
      </c>
      <c r="F306" s="162">
        <f>2.5+3</f>
        <v>5.5</v>
      </c>
      <c r="G306" s="190"/>
      <c r="H306" s="110">
        <f t="shared" si="22"/>
        <v>0</v>
      </c>
      <c r="I306" s="70" t="s">
        <v>357</v>
      </c>
    </row>
    <row r="307" spans="1:9" ht="27">
      <c r="A307" s="106">
        <f t="shared" si="23"/>
        <v>137</v>
      </c>
      <c r="B307" s="223"/>
      <c r="C307" s="128" t="s">
        <v>281</v>
      </c>
      <c r="D307" s="129" t="s">
        <v>84</v>
      </c>
      <c r="E307" s="130" t="s">
        <v>249</v>
      </c>
      <c r="F307" s="166">
        <f>1.5*F306</f>
        <v>8.25</v>
      </c>
      <c r="G307" s="210"/>
      <c r="H307" s="131">
        <f t="shared" si="22"/>
        <v>0</v>
      </c>
      <c r="I307" s="70" t="s">
        <v>357</v>
      </c>
    </row>
    <row r="308" spans="1:22" ht="12.75">
      <c r="A308" s="106">
        <f t="shared" si="23"/>
        <v>138</v>
      </c>
      <c r="B308" s="223" t="s">
        <v>141</v>
      </c>
      <c r="C308" s="107" t="s">
        <v>280</v>
      </c>
      <c r="D308" s="108" t="s">
        <v>17</v>
      </c>
      <c r="E308" s="109" t="s">
        <v>238</v>
      </c>
      <c r="F308" s="290">
        <f>F309</f>
        <v>13.280000000000001</v>
      </c>
      <c r="G308" s="190"/>
      <c r="H308" s="110">
        <f t="shared" si="22"/>
        <v>0</v>
      </c>
      <c r="I308" s="177" t="s">
        <v>357</v>
      </c>
      <c r="J308" s="182"/>
      <c r="K308" s="1"/>
      <c r="O308" s="3"/>
      <c r="R308" s="9"/>
      <c r="V308" s="183"/>
    </row>
    <row r="309" spans="1:9" ht="25.5">
      <c r="A309" s="106">
        <f t="shared" si="23"/>
        <v>139</v>
      </c>
      <c r="B309" s="223"/>
      <c r="C309" s="128" t="s">
        <v>281</v>
      </c>
      <c r="D309" s="129" t="s">
        <v>370</v>
      </c>
      <c r="E309" s="130" t="s">
        <v>238</v>
      </c>
      <c r="F309" s="167">
        <f>8.22-0.8+6.66-0.8</f>
        <v>13.280000000000001</v>
      </c>
      <c r="G309" s="210"/>
      <c r="H309" s="131">
        <f t="shared" si="22"/>
        <v>0</v>
      </c>
      <c r="I309" s="70" t="s">
        <v>357</v>
      </c>
    </row>
    <row r="310" spans="1:9" ht="25.5">
      <c r="A310" s="106">
        <f t="shared" si="23"/>
        <v>140</v>
      </c>
      <c r="B310" s="223" t="s">
        <v>176</v>
      </c>
      <c r="C310" s="107" t="s">
        <v>365</v>
      </c>
      <c r="D310" s="108" t="s">
        <v>67</v>
      </c>
      <c r="E310" s="109" t="s">
        <v>235</v>
      </c>
      <c r="F310" s="162">
        <f>F303</f>
        <v>10.7</v>
      </c>
      <c r="G310" s="190"/>
      <c r="H310" s="110">
        <f aca="true" t="shared" si="24" ref="H310:H315">F310*G310</f>
        <v>0</v>
      </c>
      <c r="I310" s="70" t="s">
        <v>357</v>
      </c>
    </row>
    <row r="311" spans="1:11" ht="25.5">
      <c r="A311" s="106">
        <f t="shared" si="23"/>
        <v>141</v>
      </c>
      <c r="B311" s="223"/>
      <c r="C311" s="128" t="s">
        <v>287</v>
      </c>
      <c r="D311" s="129" t="s">
        <v>68</v>
      </c>
      <c r="E311" s="130" t="s">
        <v>235</v>
      </c>
      <c r="F311" s="167">
        <f>+F310*1.1</f>
        <v>11.77</v>
      </c>
      <c r="G311" s="210"/>
      <c r="H311" s="131">
        <f t="shared" si="24"/>
        <v>0</v>
      </c>
      <c r="I311" s="70" t="s">
        <v>357</v>
      </c>
      <c r="J311" s="241"/>
      <c r="K311" s="242"/>
    </row>
    <row r="312" spans="1:11" ht="25.5">
      <c r="A312" s="106">
        <f t="shared" si="23"/>
        <v>142</v>
      </c>
      <c r="B312" s="223" t="s">
        <v>177</v>
      </c>
      <c r="C312" s="107" t="s">
        <v>289</v>
      </c>
      <c r="D312" s="111" t="s">
        <v>65</v>
      </c>
      <c r="E312" s="109" t="s">
        <v>238</v>
      </c>
      <c r="F312" s="163">
        <f>(10.4-1-0.8-0.8-0.9)</f>
        <v>6.8999999999999995</v>
      </c>
      <c r="G312" s="190"/>
      <c r="H312" s="110">
        <f t="shared" si="24"/>
        <v>0</v>
      </c>
      <c r="I312" s="219" t="s">
        <v>357</v>
      </c>
      <c r="K312" s="242"/>
    </row>
    <row r="313" spans="1:9" ht="25.5">
      <c r="A313" s="106">
        <f t="shared" si="23"/>
        <v>143</v>
      </c>
      <c r="B313" s="223"/>
      <c r="C313" s="128" t="s">
        <v>288</v>
      </c>
      <c r="D313" s="129" t="s">
        <v>66</v>
      </c>
      <c r="E313" s="130" t="s">
        <v>238</v>
      </c>
      <c r="F313" s="166">
        <f>(10.4-1-0.8-0.8-0.9)*1.1</f>
        <v>7.59</v>
      </c>
      <c r="G313" s="210"/>
      <c r="H313" s="131">
        <f t="shared" si="24"/>
        <v>0</v>
      </c>
      <c r="I313" s="219" t="s">
        <v>357</v>
      </c>
    </row>
    <row r="314" spans="1:9" ht="25.5">
      <c r="A314" s="106">
        <f t="shared" si="23"/>
        <v>144</v>
      </c>
      <c r="B314" s="223"/>
      <c r="C314" s="107" t="s">
        <v>253</v>
      </c>
      <c r="D314" s="108" t="s">
        <v>18</v>
      </c>
      <c r="E314" s="109" t="s">
        <v>234</v>
      </c>
      <c r="F314" s="162">
        <v>1</v>
      </c>
      <c r="G314" s="190"/>
      <c r="H314" s="110">
        <f t="shared" si="24"/>
        <v>0</v>
      </c>
      <c r="I314" s="70" t="s">
        <v>357</v>
      </c>
    </row>
    <row r="315" spans="1:9" ht="13.5" thickBot="1">
      <c r="A315" s="106">
        <f t="shared" si="23"/>
        <v>145</v>
      </c>
      <c r="B315" s="223"/>
      <c r="C315" s="107"/>
      <c r="D315" s="108" t="s">
        <v>262</v>
      </c>
      <c r="E315" s="133" t="s">
        <v>243</v>
      </c>
      <c r="F315" s="162">
        <f>SUM(H297,H298,H299,H300,H304,H305,H307,H309,H311,H313,H314)</f>
        <v>0</v>
      </c>
      <c r="G315" s="212"/>
      <c r="H315" s="134">
        <f t="shared" si="24"/>
        <v>0</v>
      </c>
      <c r="I315" s="70" t="s">
        <v>357</v>
      </c>
    </row>
    <row r="316" spans="1:8" ht="13.5" thickBot="1">
      <c r="A316" s="106"/>
      <c r="B316" s="223"/>
      <c r="C316" s="107"/>
      <c r="D316" s="125" t="s">
        <v>236</v>
      </c>
      <c r="E316" s="126"/>
      <c r="F316" s="165"/>
      <c r="G316" s="127"/>
      <c r="H316" s="118">
        <f>SUBTOTAL(9,H297:H315)</f>
        <v>0</v>
      </c>
    </row>
    <row r="317" spans="1:9" ht="12.75">
      <c r="A317" s="106"/>
      <c r="B317" s="223"/>
      <c r="C317" s="107"/>
      <c r="D317" s="119"/>
      <c r="E317" s="120"/>
      <c r="F317" s="150"/>
      <c r="G317" s="49"/>
      <c r="H317" s="121"/>
      <c r="I317" s="70"/>
    </row>
    <row r="318" spans="1:9" ht="16.5">
      <c r="A318" s="106"/>
      <c r="B318" s="223"/>
      <c r="C318" s="122" t="s">
        <v>260</v>
      </c>
      <c r="D318" s="104" t="s">
        <v>399</v>
      </c>
      <c r="E318" s="104"/>
      <c r="F318" s="104"/>
      <c r="G318" s="104"/>
      <c r="H318" s="104"/>
      <c r="I318" s="70"/>
    </row>
    <row r="319" spans="1:9" ht="77.25" customHeight="1">
      <c r="A319" s="106"/>
      <c r="B319" s="223"/>
      <c r="C319" s="103"/>
      <c r="D319" s="316" t="s">
        <v>279</v>
      </c>
      <c r="E319" s="316"/>
      <c r="F319" s="316"/>
      <c r="G319" s="188"/>
      <c r="H319" s="188"/>
      <c r="I319" s="70"/>
    </row>
    <row r="320" spans="1:11" ht="12.75">
      <c r="A320" s="106">
        <f>A315+1</f>
        <v>146</v>
      </c>
      <c r="B320" s="223" t="s">
        <v>590</v>
      </c>
      <c r="C320" s="243" t="s">
        <v>247</v>
      </c>
      <c r="D320" s="108" t="s">
        <v>591</v>
      </c>
      <c r="E320" s="109" t="s">
        <v>235</v>
      </c>
      <c r="F320" s="198">
        <f>12.1+16.4</f>
        <v>28.5</v>
      </c>
      <c r="G320" s="302"/>
      <c r="H320" s="110">
        <f>F320*G320</f>
        <v>0</v>
      </c>
      <c r="I320" s="244" t="s">
        <v>357</v>
      </c>
      <c r="J320" s="183"/>
      <c r="K320" s="1"/>
    </row>
    <row r="321" spans="1:11" ht="12.75">
      <c r="A321" s="106">
        <f>A320+1</f>
        <v>147</v>
      </c>
      <c r="B321" s="223" t="s">
        <v>592</v>
      </c>
      <c r="C321" s="243"/>
      <c r="D321" s="108" t="s">
        <v>21</v>
      </c>
      <c r="E321" s="109" t="s">
        <v>235</v>
      </c>
      <c r="F321" s="198">
        <f>F320</f>
        <v>28.5</v>
      </c>
      <c r="G321" s="209"/>
      <c r="H321" s="110">
        <f aca="true" t="shared" si="25" ref="H321:H328">F321*G321</f>
        <v>0</v>
      </c>
      <c r="I321" s="200" t="s">
        <v>357</v>
      </c>
      <c r="J321" s="1"/>
      <c r="K321" s="1"/>
    </row>
    <row r="322" spans="1:11" ht="12.75">
      <c r="A322" s="106">
        <f>A321+1</f>
        <v>148</v>
      </c>
      <c r="B322" s="223" t="s">
        <v>593</v>
      </c>
      <c r="C322" s="245" t="s">
        <v>147</v>
      </c>
      <c r="D322" s="108" t="s">
        <v>594</v>
      </c>
      <c r="E322" s="109" t="s">
        <v>234</v>
      </c>
      <c r="F322" s="198">
        <f>F321*0.4</f>
        <v>11.4</v>
      </c>
      <c r="G322" s="302"/>
      <c r="H322" s="110">
        <f t="shared" si="25"/>
        <v>0</v>
      </c>
      <c r="I322" s="244" t="s">
        <v>357</v>
      </c>
      <c r="J322" s="183"/>
      <c r="K322" s="1"/>
    </row>
    <row r="323" spans="1:11" ht="25.5">
      <c r="A323" s="106">
        <f>A322+1</f>
        <v>149</v>
      </c>
      <c r="B323" s="223" t="s">
        <v>595</v>
      </c>
      <c r="C323" s="243" t="s">
        <v>147</v>
      </c>
      <c r="D323" s="108" t="s">
        <v>596</v>
      </c>
      <c r="E323" s="109" t="s">
        <v>235</v>
      </c>
      <c r="F323" s="198">
        <f>F320</f>
        <v>28.5</v>
      </c>
      <c r="G323" s="302"/>
      <c r="H323" s="110">
        <f t="shared" si="25"/>
        <v>0</v>
      </c>
      <c r="I323" s="244" t="s">
        <v>357</v>
      </c>
      <c r="J323" s="183"/>
      <c r="K323" s="1"/>
    </row>
    <row r="324" spans="1:11" ht="12.75">
      <c r="A324" s="106">
        <f>A315+1</f>
        <v>146</v>
      </c>
      <c r="B324" s="235" t="s">
        <v>70</v>
      </c>
      <c r="C324" s="107" t="s">
        <v>356</v>
      </c>
      <c r="D324" s="108" t="s">
        <v>380</v>
      </c>
      <c r="E324" s="109" t="s">
        <v>238</v>
      </c>
      <c r="F324" s="198">
        <f>17.55-2*0.9+16.8-0.9-0.7-0.1*2</f>
        <v>30.75</v>
      </c>
      <c r="G324" s="209"/>
      <c r="H324" s="110">
        <f>F324*G324</f>
        <v>0</v>
      </c>
      <c r="I324" s="200" t="s">
        <v>357</v>
      </c>
      <c r="J324" s="1"/>
      <c r="K324" s="1"/>
    </row>
    <row r="325" spans="1:11" ht="16.5">
      <c r="A325" s="106">
        <f>A324+1</f>
        <v>147</v>
      </c>
      <c r="B325" s="223"/>
      <c r="C325" s="128" t="s">
        <v>355</v>
      </c>
      <c r="D325" s="129" t="s">
        <v>351</v>
      </c>
      <c r="E325" s="130" t="s">
        <v>238</v>
      </c>
      <c r="F325" s="199">
        <f>1.1*F324</f>
        <v>33.825</v>
      </c>
      <c r="G325" s="215"/>
      <c r="H325" s="131">
        <f>F325*G325</f>
        <v>0</v>
      </c>
      <c r="I325" s="200" t="s">
        <v>357</v>
      </c>
      <c r="J325" s="1"/>
      <c r="K325" s="193" t="s">
        <v>600</v>
      </c>
    </row>
    <row r="326" spans="1:10" ht="12.75">
      <c r="A326" s="106">
        <f>A325+1</f>
        <v>148</v>
      </c>
      <c r="B326" s="223" t="s">
        <v>597</v>
      </c>
      <c r="C326" s="107" t="s">
        <v>179</v>
      </c>
      <c r="D326" s="108" t="s">
        <v>178</v>
      </c>
      <c r="E326" s="109" t="s">
        <v>238</v>
      </c>
      <c r="F326" s="162">
        <f>F327</f>
        <v>2.4000000000000004</v>
      </c>
      <c r="G326" s="190"/>
      <c r="H326" s="110">
        <f t="shared" si="25"/>
        <v>0</v>
      </c>
      <c r="I326" s="70" t="s">
        <v>357</v>
      </c>
      <c r="J326" s="1"/>
    </row>
    <row r="327" spans="1:11" ht="16.5">
      <c r="A327" s="106">
        <f>A326+1</f>
        <v>149</v>
      </c>
      <c r="B327" s="223"/>
      <c r="C327" s="128" t="s">
        <v>180</v>
      </c>
      <c r="D327" s="129" t="s">
        <v>598</v>
      </c>
      <c r="E327" s="130" t="s">
        <v>238</v>
      </c>
      <c r="F327" s="199">
        <f>0.8*3</f>
        <v>2.4000000000000004</v>
      </c>
      <c r="G327" s="215"/>
      <c r="H327" s="131">
        <f t="shared" si="25"/>
        <v>0</v>
      </c>
      <c r="I327" s="200" t="s">
        <v>357</v>
      </c>
      <c r="J327" s="1"/>
      <c r="K327" s="193" t="s">
        <v>599</v>
      </c>
    </row>
    <row r="328" spans="1:9" ht="13.5" thickBot="1">
      <c r="A328" s="106">
        <f>A327+1</f>
        <v>150</v>
      </c>
      <c r="B328" s="223"/>
      <c r="C328" s="107"/>
      <c r="D328" s="108" t="s">
        <v>262</v>
      </c>
      <c r="E328" s="133" t="s">
        <v>243</v>
      </c>
      <c r="F328" s="162">
        <f>+H325+H323+H327</f>
        <v>0</v>
      </c>
      <c r="G328" s="212"/>
      <c r="H328" s="134">
        <f t="shared" si="25"/>
        <v>0</v>
      </c>
      <c r="I328" s="70" t="s">
        <v>357</v>
      </c>
    </row>
    <row r="329" spans="3:8" ht="13.5" thickBot="1">
      <c r="C329" s="107"/>
      <c r="D329" s="125" t="s">
        <v>236</v>
      </c>
      <c r="E329" s="126"/>
      <c r="F329" s="165"/>
      <c r="G329" s="127"/>
      <c r="H329" s="118">
        <f>SUM(H320:H328)</f>
        <v>0</v>
      </c>
    </row>
    <row r="330" spans="1:9" ht="12.75">
      <c r="A330" s="106"/>
      <c r="B330" s="223"/>
      <c r="C330" s="107"/>
      <c r="D330" s="119"/>
      <c r="E330" s="120"/>
      <c r="F330" s="150"/>
      <c r="G330" s="49"/>
      <c r="H330" s="121"/>
      <c r="I330" s="70"/>
    </row>
    <row r="331" spans="1:9" ht="16.5">
      <c r="A331" s="106"/>
      <c r="B331" s="223"/>
      <c r="C331" s="122" t="s">
        <v>41</v>
      </c>
      <c r="D331" s="104" t="s">
        <v>42</v>
      </c>
      <c r="E331" s="104"/>
      <c r="F331" s="168"/>
      <c r="G331" s="104"/>
      <c r="H331" s="104"/>
      <c r="I331" s="70"/>
    </row>
    <row r="332" spans="1:18" ht="12.75">
      <c r="A332" s="106">
        <f>A328+1</f>
        <v>151</v>
      </c>
      <c r="B332" s="223" t="s">
        <v>88</v>
      </c>
      <c r="C332" s="107"/>
      <c r="D332" s="108" t="s">
        <v>438</v>
      </c>
      <c r="E332" s="109" t="s">
        <v>237</v>
      </c>
      <c r="F332" s="162">
        <v>1</v>
      </c>
      <c r="G332" s="190"/>
      <c r="H332" s="110">
        <f aca="true" t="shared" si="26" ref="H332:H345">F332*G332</f>
        <v>0</v>
      </c>
      <c r="I332" s="70" t="s">
        <v>357</v>
      </c>
      <c r="N332" s="3"/>
      <c r="Q332" s="13">
        <v>0.00156</v>
      </c>
      <c r="R332"/>
    </row>
    <row r="333" spans="1:18" ht="12.75">
      <c r="A333" s="106">
        <f>A332+1</f>
        <v>152</v>
      </c>
      <c r="B333" s="223" t="s">
        <v>89</v>
      </c>
      <c r="C333" s="107"/>
      <c r="D333" s="108" t="s">
        <v>296</v>
      </c>
      <c r="E333" s="109" t="s">
        <v>237</v>
      </c>
      <c r="F333" s="162">
        <v>2</v>
      </c>
      <c r="G333" s="190"/>
      <c r="H333" s="110">
        <f t="shared" si="26"/>
        <v>0</v>
      </c>
      <c r="I333" s="70" t="s">
        <v>357</v>
      </c>
      <c r="N333" s="3"/>
      <c r="Q333" s="13">
        <f>0.0031*F333</f>
        <v>0.0062</v>
      </c>
      <c r="R333"/>
    </row>
    <row r="334" spans="1:18" ht="12.75">
      <c r="A334" s="106">
        <f>A333+1</f>
        <v>153</v>
      </c>
      <c r="B334" s="223" t="s">
        <v>90</v>
      </c>
      <c r="C334" s="107"/>
      <c r="D334" s="108" t="s">
        <v>91</v>
      </c>
      <c r="E334" s="109" t="s">
        <v>237</v>
      </c>
      <c r="F334" s="162">
        <v>1</v>
      </c>
      <c r="G334" s="190"/>
      <c r="H334" s="110">
        <f t="shared" si="26"/>
        <v>0</v>
      </c>
      <c r="I334" s="70" t="s">
        <v>357</v>
      </c>
      <c r="N334" s="3"/>
      <c r="O334" s="9"/>
      <c r="Q334" s="1">
        <f>0.38462</f>
        <v>0.38462</v>
      </c>
      <c r="R334" t="s">
        <v>239</v>
      </c>
    </row>
    <row r="335" spans="1:18" ht="12.75">
      <c r="A335" s="106">
        <f>A334+1</f>
        <v>154</v>
      </c>
      <c r="B335" s="223"/>
      <c r="C335" s="107"/>
      <c r="D335" s="108" t="s">
        <v>43</v>
      </c>
      <c r="E335" s="109" t="s">
        <v>234</v>
      </c>
      <c r="F335" s="162">
        <v>1</v>
      </c>
      <c r="G335" s="190"/>
      <c r="H335" s="110">
        <f t="shared" si="26"/>
        <v>0</v>
      </c>
      <c r="I335" s="70" t="s">
        <v>357</v>
      </c>
      <c r="N335" s="3"/>
      <c r="Q335" s="13">
        <f>0.002*F335</f>
        <v>0.002</v>
      </c>
      <c r="R335" t="s">
        <v>239</v>
      </c>
    </row>
    <row r="336" spans="1:18" ht="12.75">
      <c r="A336" s="106">
        <f aca="true" t="shared" si="27" ref="A336:A345">A335+1</f>
        <v>155</v>
      </c>
      <c r="B336" s="223" t="s">
        <v>44</v>
      </c>
      <c r="C336" s="107"/>
      <c r="D336" s="108" t="s">
        <v>437</v>
      </c>
      <c r="E336" s="109" t="s">
        <v>234</v>
      </c>
      <c r="F336" s="162">
        <v>1</v>
      </c>
      <c r="G336" s="190"/>
      <c r="H336" s="110">
        <f t="shared" si="26"/>
        <v>0</v>
      </c>
      <c r="I336" s="70" t="s">
        <v>357</v>
      </c>
      <c r="N336" s="3"/>
      <c r="Q336" s="13">
        <v>0.01933</v>
      </c>
      <c r="R336"/>
    </row>
    <row r="337" spans="1:18" ht="12.75">
      <c r="A337" s="106">
        <f t="shared" si="27"/>
        <v>156</v>
      </c>
      <c r="B337" s="223" t="s">
        <v>45</v>
      </c>
      <c r="C337" s="107"/>
      <c r="D337" s="108" t="s">
        <v>46</v>
      </c>
      <c r="E337" s="109" t="s">
        <v>234</v>
      </c>
      <c r="F337" s="162">
        <v>1</v>
      </c>
      <c r="G337" s="190"/>
      <c r="H337" s="110">
        <f t="shared" si="26"/>
        <v>0</v>
      </c>
      <c r="I337" s="70" t="s">
        <v>357</v>
      </c>
      <c r="N337" s="3"/>
      <c r="Q337" s="13">
        <v>0.03187</v>
      </c>
      <c r="R337"/>
    </row>
    <row r="338" spans="1:18" ht="12.75">
      <c r="A338" s="106">
        <f t="shared" si="27"/>
        <v>157</v>
      </c>
      <c r="B338" s="223" t="s">
        <v>47</v>
      </c>
      <c r="C338" s="107"/>
      <c r="D338" s="108" t="s">
        <v>436</v>
      </c>
      <c r="E338" s="109" t="s">
        <v>237</v>
      </c>
      <c r="F338" s="198">
        <v>2</v>
      </c>
      <c r="G338" s="190"/>
      <c r="H338" s="110">
        <f t="shared" si="26"/>
        <v>0</v>
      </c>
      <c r="I338" s="70" t="s">
        <v>357</v>
      </c>
      <c r="N338" s="3"/>
      <c r="Q338" s="13"/>
      <c r="R338"/>
    </row>
    <row r="339" spans="1:18" ht="12.75">
      <c r="A339" s="106">
        <f t="shared" si="27"/>
        <v>158</v>
      </c>
      <c r="B339" s="223" t="s">
        <v>448</v>
      </c>
      <c r="C339" s="222"/>
      <c r="D339" s="108" t="s">
        <v>601</v>
      </c>
      <c r="E339" s="109" t="s">
        <v>237</v>
      </c>
      <c r="F339" s="162">
        <v>1</v>
      </c>
      <c r="G339" s="190"/>
      <c r="H339" s="110">
        <f t="shared" si="26"/>
        <v>0</v>
      </c>
      <c r="I339" s="70" t="s">
        <v>357</v>
      </c>
      <c r="N339" s="3"/>
      <c r="Q339" s="13">
        <v>0.028</v>
      </c>
      <c r="R339"/>
    </row>
    <row r="340" spans="1:18" ht="12.75">
      <c r="A340" s="106">
        <f t="shared" si="27"/>
        <v>159</v>
      </c>
      <c r="B340" s="223"/>
      <c r="C340" s="107"/>
      <c r="D340" s="108" t="s">
        <v>294</v>
      </c>
      <c r="E340" s="109" t="s">
        <v>239</v>
      </c>
      <c r="F340" s="198">
        <f>Q340</f>
        <v>0.47358000000000006</v>
      </c>
      <c r="G340" s="190"/>
      <c r="H340" s="110">
        <f t="shared" si="26"/>
        <v>0</v>
      </c>
      <c r="I340" s="70" t="s">
        <v>357</v>
      </c>
      <c r="N340" s="3"/>
      <c r="Q340" s="13">
        <f>SUM(Q332:Q339)</f>
        <v>0.47358000000000006</v>
      </c>
      <c r="R340"/>
    </row>
    <row r="341" spans="1:18" ht="12.75">
      <c r="A341" s="106">
        <f t="shared" si="27"/>
        <v>160</v>
      </c>
      <c r="B341" s="223"/>
      <c r="C341" s="107"/>
      <c r="D341" s="108" t="s">
        <v>48</v>
      </c>
      <c r="E341" s="109" t="s">
        <v>239</v>
      </c>
      <c r="F341" s="198">
        <f>F340</f>
        <v>0.47358000000000006</v>
      </c>
      <c r="G341" s="190"/>
      <c r="H341" s="110">
        <f t="shared" si="26"/>
        <v>0</v>
      </c>
      <c r="I341" s="70" t="s">
        <v>357</v>
      </c>
      <c r="N341" s="3"/>
      <c r="Q341" s="13"/>
      <c r="R341"/>
    </row>
    <row r="342" spans="1:18" ht="12.75">
      <c r="A342" s="106">
        <f t="shared" si="27"/>
        <v>161</v>
      </c>
      <c r="B342" s="223"/>
      <c r="C342" s="107"/>
      <c r="D342" s="108" t="s">
        <v>440</v>
      </c>
      <c r="E342" s="109" t="s">
        <v>239</v>
      </c>
      <c r="F342" s="198">
        <f>F341</f>
        <v>0.47358000000000006</v>
      </c>
      <c r="G342" s="190"/>
      <c r="H342" s="110">
        <f t="shared" si="26"/>
        <v>0</v>
      </c>
      <c r="I342" s="70" t="s">
        <v>357</v>
      </c>
      <c r="N342" s="3"/>
      <c r="Q342" s="13"/>
      <c r="R342"/>
    </row>
    <row r="343" spans="1:18" ht="12.75">
      <c r="A343" s="106">
        <f t="shared" si="27"/>
        <v>162</v>
      </c>
      <c r="B343" s="223"/>
      <c r="C343" s="107"/>
      <c r="D343" s="108" t="s">
        <v>49</v>
      </c>
      <c r="E343" s="109" t="s">
        <v>239</v>
      </c>
      <c r="F343" s="198">
        <f>F340</f>
        <v>0.47358000000000006</v>
      </c>
      <c r="G343" s="190"/>
      <c r="H343" s="110">
        <f t="shared" si="26"/>
        <v>0</v>
      </c>
      <c r="I343" s="70" t="s">
        <v>357</v>
      </c>
      <c r="N343" s="3"/>
      <c r="Q343" s="13"/>
      <c r="R343"/>
    </row>
    <row r="344" spans="1:18" ht="12.75">
      <c r="A344" s="106">
        <f t="shared" si="27"/>
        <v>163</v>
      </c>
      <c r="B344" s="223"/>
      <c r="C344" s="107"/>
      <c r="D344" s="108" t="s">
        <v>50</v>
      </c>
      <c r="E344" s="109" t="s">
        <v>239</v>
      </c>
      <c r="F344" s="198">
        <f>F340*9</f>
        <v>4.26222</v>
      </c>
      <c r="G344" s="190"/>
      <c r="H344" s="110">
        <f t="shared" si="26"/>
        <v>0</v>
      </c>
      <c r="I344" s="70" t="s">
        <v>357</v>
      </c>
      <c r="N344" s="3"/>
      <c r="Q344" s="13"/>
      <c r="R344"/>
    </row>
    <row r="345" spans="1:18" ht="13.5" thickBot="1">
      <c r="A345" s="106">
        <f t="shared" si="27"/>
        <v>164</v>
      </c>
      <c r="B345" s="223"/>
      <c r="C345" s="107"/>
      <c r="D345" s="108" t="s">
        <v>52</v>
      </c>
      <c r="E345" s="109" t="s">
        <v>239</v>
      </c>
      <c r="F345" s="198">
        <f>+F340</f>
        <v>0.47358000000000006</v>
      </c>
      <c r="G345" s="190"/>
      <c r="H345" s="110">
        <f t="shared" si="26"/>
        <v>0</v>
      </c>
      <c r="I345" s="70" t="s">
        <v>357</v>
      </c>
      <c r="N345" s="3"/>
      <c r="Q345" s="13"/>
      <c r="R345"/>
    </row>
    <row r="346" spans="1:18" ht="15.75" thickBot="1">
      <c r="A346" s="106"/>
      <c r="B346" s="223"/>
      <c r="C346" s="107"/>
      <c r="D346" s="293" t="s">
        <v>236</v>
      </c>
      <c r="E346" s="294"/>
      <c r="F346" s="295"/>
      <c r="G346" s="296"/>
      <c r="H346" s="297">
        <f>SUM(H332:H345)</f>
        <v>0</v>
      </c>
      <c r="I346" s="70"/>
      <c r="N346" s="3"/>
      <c r="Q346" s="13"/>
      <c r="R346"/>
    </row>
    <row r="347" spans="1:9" ht="12.75">
      <c r="A347" s="106"/>
      <c r="B347" s="223"/>
      <c r="C347" s="107"/>
      <c r="D347" s="119"/>
      <c r="E347" s="120"/>
      <c r="F347" s="150"/>
      <c r="G347" s="49"/>
      <c r="H347" s="121"/>
      <c r="I347" s="70"/>
    </row>
    <row r="348" spans="1:9" ht="16.5">
      <c r="A348" s="106"/>
      <c r="B348" s="223"/>
      <c r="C348" s="122" t="s">
        <v>53</v>
      </c>
      <c r="D348" s="104" t="s">
        <v>273</v>
      </c>
      <c r="E348" s="104"/>
      <c r="F348" s="168"/>
      <c r="G348" s="104"/>
      <c r="H348" s="104"/>
      <c r="I348" s="70"/>
    </row>
    <row r="349" spans="1:9" ht="79.5" customHeight="1">
      <c r="A349" s="106"/>
      <c r="B349" s="223"/>
      <c r="C349" s="103"/>
      <c r="D349" s="303" t="s">
        <v>207</v>
      </c>
      <c r="E349" s="303"/>
      <c r="F349" s="303"/>
      <c r="G349" s="187"/>
      <c r="H349" s="187"/>
      <c r="I349" s="70"/>
    </row>
    <row r="350" spans="1:9" ht="25.5">
      <c r="A350" s="106">
        <f>A345+1</f>
        <v>165</v>
      </c>
      <c r="B350" s="223" t="s">
        <v>145</v>
      </c>
      <c r="C350" s="107" t="s">
        <v>147</v>
      </c>
      <c r="D350" s="124" t="s">
        <v>127</v>
      </c>
      <c r="E350" s="109" t="s">
        <v>238</v>
      </c>
      <c r="F350" s="163">
        <f>6.75+2.4+2.68+2*0.6+2.97+1</f>
        <v>17</v>
      </c>
      <c r="G350" s="190"/>
      <c r="H350" s="110">
        <f>F350*G350</f>
        <v>0</v>
      </c>
      <c r="I350" s="70" t="s">
        <v>357</v>
      </c>
    </row>
    <row r="351" spans="1:9" ht="25.5">
      <c r="A351" s="106">
        <f>A350+1</f>
        <v>166</v>
      </c>
      <c r="B351" s="236" t="s">
        <v>146</v>
      </c>
      <c r="C351" s="107" t="s">
        <v>147</v>
      </c>
      <c r="D351" s="124" t="s">
        <v>128</v>
      </c>
      <c r="E351" s="109" t="s">
        <v>238</v>
      </c>
      <c r="F351" s="163">
        <v>1</v>
      </c>
      <c r="G351" s="190"/>
      <c r="H351" s="110">
        <f aca="true" t="shared" si="28" ref="H351:H364">F351*G351</f>
        <v>0</v>
      </c>
      <c r="I351" s="70" t="s">
        <v>357</v>
      </c>
    </row>
    <row r="352" spans="1:9" ht="25.5">
      <c r="A352" s="106">
        <f aca="true" t="shared" si="29" ref="A352:A364">A351+1</f>
        <v>167</v>
      </c>
      <c r="B352" s="236" t="s">
        <v>61</v>
      </c>
      <c r="C352" s="107" t="s">
        <v>147</v>
      </c>
      <c r="D352" s="139" t="s">
        <v>126</v>
      </c>
      <c r="E352" s="109" t="s">
        <v>238</v>
      </c>
      <c r="F352" s="163">
        <v>1</v>
      </c>
      <c r="G352" s="190"/>
      <c r="H352" s="110">
        <f>F352*G352</f>
        <v>0</v>
      </c>
      <c r="I352" s="70" t="s">
        <v>357</v>
      </c>
    </row>
    <row r="353" spans="1:9" ht="12.75">
      <c r="A353" s="106">
        <f t="shared" si="29"/>
        <v>168</v>
      </c>
      <c r="B353" s="223" t="s">
        <v>603</v>
      </c>
      <c r="C353" s="107" t="s">
        <v>246</v>
      </c>
      <c r="D353" s="124" t="s">
        <v>602</v>
      </c>
      <c r="E353" s="109" t="s">
        <v>237</v>
      </c>
      <c r="F353" s="163">
        <v>1</v>
      </c>
      <c r="G353" s="190"/>
      <c r="H353" s="110">
        <f>F353*G353</f>
        <v>0</v>
      </c>
      <c r="I353" s="70" t="s">
        <v>357</v>
      </c>
    </row>
    <row r="354" spans="1:9" ht="25.5">
      <c r="A354" s="106">
        <f t="shared" si="29"/>
        <v>169</v>
      </c>
      <c r="B354" s="225" t="s">
        <v>605</v>
      </c>
      <c r="C354" s="107" t="s">
        <v>246</v>
      </c>
      <c r="D354" s="124" t="s">
        <v>604</v>
      </c>
      <c r="E354" s="109" t="s">
        <v>237</v>
      </c>
      <c r="F354" s="162">
        <v>1</v>
      </c>
      <c r="G354" s="190"/>
      <c r="H354" s="110">
        <f t="shared" si="28"/>
        <v>0</v>
      </c>
      <c r="I354" s="70" t="s">
        <v>357</v>
      </c>
    </row>
    <row r="355" spans="1:9" ht="12.75">
      <c r="A355" s="106">
        <f>A354+1</f>
        <v>170</v>
      </c>
      <c r="B355" s="223"/>
      <c r="C355" s="107" t="s">
        <v>246</v>
      </c>
      <c r="D355" s="124" t="s">
        <v>607</v>
      </c>
      <c r="E355" s="109" t="s">
        <v>238</v>
      </c>
      <c r="F355" s="162">
        <v>2.6</v>
      </c>
      <c r="G355" s="190"/>
      <c r="H355" s="110">
        <f t="shared" si="28"/>
        <v>0</v>
      </c>
      <c r="I355" s="70" t="s">
        <v>357</v>
      </c>
    </row>
    <row r="356" spans="1:9" ht="12.75">
      <c r="A356" s="106">
        <f t="shared" si="29"/>
        <v>171</v>
      </c>
      <c r="B356" s="223" t="s">
        <v>107</v>
      </c>
      <c r="C356" s="107" t="s">
        <v>247</v>
      </c>
      <c r="D356" s="124" t="s">
        <v>108</v>
      </c>
      <c r="E356" s="109" t="s">
        <v>237</v>
      </c>
      <c r="F356" s="162">
        <v>2</v>
      </c>
      <c r="G356" s="190"/>
      <c r="H356" s="110">
        <f t="shared" si="28"/>
        <v>0</v>
      </c>
      <c r="I356" s="219" t="s">
        <v>357</v>
      </c>
    </row>
    <row r="357" spans="1:9" ht="12.75">
      <c r="A357" s="106">
        <f t="shared" si="29"/>
        <v>172</v>
      </c>
      <c r="B357" s="223" t="s">
        <v>109</v>
      </c>
      <c r="C357" s="107" t="s">
        <v>247</v>
      </c>
      <c r="D357" s="124" t="s">
        <v>110</v>
      </c>
      <c r="E357" s="109" t="s">
        <v>237</v>
      </c>
      <c r="F357" s="162">
        <v>1</v>
      </c>
      <c r="G357" s="190"/>
      <c r="H357" s="110">
        <f t="shared" si="28"/>
        <v>0</v>
      </c>
      <c r="I357" s="219" t="s">
        <v>357</v>
      </c>
    </row>
    <row r="358" spans="1:9" ht="12.75">
      <c r="A358" s="106">
        <f t="shared" si="29"/>
        <v>173</v>
      </c>
      <c r="B358" s="223" t="s">
        <v>111</v>
      </c>
      <c r="C358" s="107" t="s">
        <v>247</v>
      </c>
      <c r="D358" s="139" t="s">
        <v>72</v>
      </c>
      <c r="E358" s="109" t="s">
        <v>237</v>
      </c>
      <c r="F358" s="162">
        <v>1</v>
      </c>
      <c r="G358" s="190"/>
      <c r="H358" s="110">
        <f t="shared" si="28"/>
        <v>0</v>
      </c>
      <c r="I358" s="219" t="s">
        <v>357</v>
      </c>
    </row>
    <row r="359" spans="1:9" ht="12.75">
      <c r="A359" s="106">
        <f t="shared" si="29"/>
        <v>174</v>
      </c>
      <c r="B359" s="223" t="s">
        <v>63</v>
      </c>
      <c r="C359" s="107" t="s">
        <v>247</v>
      </c>
      <c r="D359" s="139" t="s">
        <v>62</v>
      </c>
      <c r="E359" s="109" t="s">
        <v>237</v>
      </c>
      <c r="F359" s="162">
        <v>1</v>
      </c>
      <c r="G359" s="190"/>
      <c r="H359" s="110">
        <f t="shared" si="28"/>
        <v>0</v>
      </c>
      <c r="I359" s="219" t="s">
        <v>357</v>
      </c>
    </row>
    <row r="360" spans="1:11" ht="25.5">
      <c r="A360" s="106">
        <f t="shared" si="29"/>
        <v>175</v>
      </c>
      <c r="B360" s="223"/>
      <c r="C360" s="107" t="s">
        <v>147</v>
      </c>
      <c r="D360" s="139" t="s">
        <v>608</v>
      </c>
      <c r="E360" s="109" t="s">
        <v>237</v>
      </c>
      <c r="F360" s="162">
        <v>1</v>
      </c>
      <c r="G360" s="190"/>
      <c r="H360" s="110">
        <f t="shared" si="28"/>
        <v>0</v>
      </c>
      <c r="I360" s="219" t="s">
        <v>357</v>
      </c>
      <c r="K360" s="193" t="s">
        <v>609</v>
      </c>
    </row>
    <row r="361" spans="1:11" ht="38.25">
      <c r="A361" s="106">
        <f t="shared" si="29"/>
        <v>176</v>
      </c>
      <c r="B361" s="223" t="s">
        <v>611</v>
      </c>
      <c r="C361" s="107" t="s">
        <v>147</v>
      </c>
      <c r="D361" s="124" t="s">
        <v>612</v>
      </c>
      <c r="E361" s="109" t="s">
        <v>237</v>
      </c>
      <c r="F361" s="162">
        <v>1</v>
      </c>
      <c r="G361" s="190"/>
      <c r="H361" s="110">
        <f t="shared" si="28"/>
        <v>0</v>
      </c>
      <c r="I361" s="219" t="s">
        <v>363</v>
      </c>
      <c r="K361" s="193" t="s">
        <v>610</v>
      </c>
    </row>
    <row r="362" spans="1:9" ht="12.75">
      <c r="A362" s="106">
        <f t="shared" si="29"/>
        <v>177</v>
      </c>
      <c r="B362" s="223"/>
      <c r="C362" s="107" t="s">
        <v>247</v>
      </c>
      <c r="D362" s="139" t="s">
        <v>285</v>
      </c>
      <c r="E362" s="109" t="s">
        <v>234</v>
      </c>
      <c r="F362" s="162">
        <v>1</v>
      </c>
      <c r="G362" s="190"/>
      <c r="H362" s="110">
        <f t="shared" si="28"/>
        <v>0</v>
      </c>
      <c r="I362" s="70" t="s">
        <v>357</v>
      </c>
    </row>
    <row r="363" spans="1:22" ht="38.25">
      <c r="A363" s="106">
        <f t="shared" si="29"/>
        <v>178</v>
      </c>
      <c r="B363" s="223"/>
      <c r="C363" s="107"/>
      <c r="D363" s="124" t="s">
        <v>606</v>
      </c>
      <c r="E363" s="109" t="s">
        <v>237</v>
      </c>
      <c r="F363" s="162">
        <v>1</v>
      </c>
      <c r="G363" s="190"/>
      <c r="H363" s="110">
        <f t="shared" si="28"/>
        <v>0</v>
      </c>
      <c r="I363" s="177" t="s">
        <v>357</v>
      </c>
      <c r="J363" s="182"/>
      <c r="O363" s="3"/>
      <c r="R363" s="9"/>
      <c r="V363" s="183"/>
    </row>
    <row r="364" spans="1:9" ht="13.5" thickBot="1">
      <c r="A364" s="106">
        <f t="shared" si="29"/>
        <v>179</v>
      </c>
      <c r="B364" s="223"/>
      <c r="C364" s="107"/>
      <c r="D364" s="108" t="s">
        <v>262</v>
      </c>
      <c r="E364" s="133" t="s">
        <v>243</v>
      </c>
      <c r="F364" s="162">
        <f>SUM(H350:H363)</f>
        <v>0</v>
      </c>
      <c r="G364" s="212"/>
      <c r="H364" s="134">
        <f t="shared" si="28"/>
        <v>0</v>
      </c>
      <c r="I364" s="70" t="s">
        <v>357</v>
      </c>
    </row>
    <row r="365" spans="1:9" ht="13.5" thickBot="1">
      <c r="A365" s="106"/>
      <c r="B365" s="223"/>
      <c r="C365" s="107"/>
      <c r="D365" s="125" t="s">
        <v>236</v>
      </c>
      <c r="E365" s="126"/>
      <c r="F365" s="165"/>
      <c r="G365" s="127"/>
      <c r="H365" s="118">
        <f>SUBTOTAL(9,H350:H364)</f>
        <v>0</v>
      </c>
      <c r="I365" s="70"/>
    </row>
    <row r="366" spans="1:9" ht="12.75">
      <c r="A366" s="106"/>
      <c r="B366" s="223"/>
      <c r="C366" s="107"/>
      <c r="D366" s="119"/>
      <c r="E366" s="120"/>
      <c r="F366" s="150"/>
      <c r="G366" s="49"/>
      <c r="H366" s="121"/>
      <c r="I366" s="70"/>
    </row>
    <row r="367" spans="1:9" ht="16.5">
      <c r="A367" s="106"/>
      <c r="B367" s="223"/>
      <c r="C367" s="122" t="s">
        <v>54</v>
      </c>
      <c r="D367" s="104" t="s">
        <v>274</v>
      </c>
      <c r="E367" s="104"/>
      <c r="F367" s="168"/>
      <c r="G367" s="104"/>
      <c r="H367" s="104"/>
      <c r="I367" s="70"/>
    </row>
    <row r="368" spans="1:9" ht="77.25" customHeight="1">
      <c r="A368" s="106"/>
      <c r="B368" s="223"/>
      <c r="C368" s="103"/>
      <c r="D368" s="303" t="s">
        <v>81</v>
      </c>
      <c r="E368" s="303"/>
      <c r="F368" s="303"/>
      <c r="G368" s="187"/>
      <c r="H368" s="187"/>
      <c r="I368" s="70"/>
    </row>
    <row r="369" spans="1:9" ht="12.75">
      <c r="A369" s="113">
        <f>A364+1</f>
        <v>180</v>
      </c>
      <c r="B369" s="232" t="s">
        <v>148</v>
      </c>
      <c r="C369" s="222" t="s">
        <v>147</v>
      </c>
      <c r="D369" s="217" t="s">
        <v>100</v>
      </c>
      <c r="E369" s="109" t="s">
        <v>238</v>
      </c>
      <c r="F369" s="163">
        <f>(1.65+9.1+3*2+2.5+0.8)*2-1.5</f>
        <v>38.6</v>
      </c>
      <c r="G369" s="190"/>
      <c r="H369" s="110">
        <f>F369*G369</f>
        <v>0</v>
      </c>
      <c r="I369" s="70" t="s">
        <v>357</v>
      </c>
    </row>
    <row r="370" spans="1:9" ht="12.75">
      <c r="A370" s="113">
        <f>A369+1</f>
        <v>181</v>
      </c>
      <c r="B370" s="232" t="s">
        <v>149</v>
      </c>
      <c r="C370" s="222" t="s">
        <v>147</v>
      </c>
      <c r="D370" s="139" t="s">
        <v>352</v>
      </c>
      <c r="E370" s="109" t="s">
        <v>238</v>
      </c>
      <c r="F370" s="163">
        <f>1.65+9.1+3*2+2.5+0.8</f>
        <v>20.05</v>
      </c>
      <c r="G370" s="190"/>
      <c r="H370" s="110">
        <f aca="true" t="shared" si="30" ref="H370:H379">F370*G370</f>
        <v>0</v>
      </c>
      <c r="I370" s="70" t="s">
        <v>357</v>
      </c>
    </row>
    <row r="371" spans="1:9" ht="12.75">
      <c r="A371" s="113">
        <f aca="true" t="shared" si="31" ref="A371:A379">A370+1</f>
        <v>182</v>
      </c>
      <c r="B371" s="232" t="s">
        <v>150</v>
      </c>
      <c r="C371" s="222" t="s">
        <v>147</v>
      </c>
      <c r="D371" s="139" t="s">
        <v>349</v>
      </c>
      <c r="E371" s="109" t="s">
        <v>238</v>
      </c>
      <c r="F371" s="163">
        <f>1.65+9.1+3*2+2.5+0.8-1.5</f>
        <v>18.55</v>
      </c>
      <c r="G371" s="190"/>
      <c r="H371" s="110">
        <f t="shared" si="30"/>
        <v>0</v>
      </c>
      <c r="I371" s="70" t="s">
        <v>357</v>
      </c>
    </row>
    <row r="372" spans="1:9" ht="25.5">
      <c r="A372" s="113">
        <f t="shared" si="31"/>
        <v>183</v>
      </c>
      <c r="B372" s="233" t="s">
        <v>151</v>
      </c>
      <c r="C372" s="222" t="s">
        <v>147</v>
      </c>
      <c r="D372" s="124" t="s">
        <v>405</v>
      </c>
      <c r="E372" s="109" t="s">
        <v>237</v>
      </c>
      <c r="F372" s="163">
        <v>4</v>
      </c>
      <c r="G372" s="190"/>
      <c r="H372" s="110">
        <f t="shared" si="30"/>
        <v>0</v>
      </c>
      <c r="I372" s="70" t="s">
        <v>357</v>
      </c>
    </row>
    <row r="373" spans="1:9" ht="12.75">
      <c r="A373" s="113">
        <f t="shared" si="31"/>
        <v>184</v>
      </c>
      <c r="B373" s="233" t="s">
        <v>152</v>
      </c>
      <c r="C373" s="222" t="s">
        <v>147</v>
      </c>
      <c r="D373" s="124" t="s">
        <v>404</v>
      </c>
      <c r="E373" s="109" t="s">
        <v>237</v>
      </c>
      <c r="F373" s="163">
        <v>1</v>
      </c>
      <c r="G373" s="190"/>
      <c r="H373" s="110">
        <f t="shared" si="30"/>
        <v>0</v>
      </c>
      <c r="I373" s="70" t="s">
        <v>357</v>
      </c>
    </row>
    <row r="374" spans="1:9" ht="25.5">
      <c r="A374" s="113">
        <f t="shared" si="31"/>
        <v>185</v>
      </c>
      <c r="B374" s="233" t="s">
        <v>615</v>
      </c>
      <c r="C374" s="222" t="s">
        <v>147</v>
      </c>
      <c r="D374" s="124" t="s">
        <v>613</v>
      </c>
      <c r="E374" s="109" t="s">
        <v>237</v>
      </c>
      <c r="F374" s="163">
        <v>1</v>
      </c>
      <c r="G374" s="190"/>
      <c r="H374" s="110">
        <f t="shared" si="30"/>
        <v>0</v>
      </c>
      <c r="I374" s="70" t="s">
        <v>357</v>
      </c>
    </row>
    <row r="375" spans="1:9" ht="12.75">
      <c r="A375" s="113">
        <f t="shared" si="31"/>
        <v>186</v>
      </c>
      <c r="B375" s="233" t="s">
        <v>616</v>
      </c>
      <c r="C375" s="222" t="s">
        <v>147</v>
      </c>
      <c r="D375" s="124" t="s">
        <v>614</v>
      </c>
      <c r="E375" s="109" t="s">
        <v>237</v>
      </c>
      <c r="F375" s="163">
        <v>1</v>
      </c>
      <c r="G375" s="190"/>
      <c r="H375" s="110">
        <f t="shared" si="30"/>
        <v>0</v>
      </c>
      <c r="I375" s="70" t="s">
        <v>357</v>
      </c>
    </row>
    <row r="376" spans="1:9" ht="12.75">
      <c r="A376" s="113">
        <f t="shared" si="31"/>
        <v>187</v>
      </c>
      <c r="B376" s="232" t="s">
        <v>153</v>
      </c>
      <c r="C376" s="107" t="s">
        <v>247</v>
      </c>
      <c r="D376" s="124" t="s">
        <v>101</v>
      </c>
      <c r="E376" s="109" t="s">
        <v>238</v>
      </c>
      <c r="F376" s="162">
        <f>+F369</f>
        <v>38.6</v>
      </c>
      <c r="G376" s="190"/>
      <c r="H376" s="110">
        <f t="shared" si="30"/>
        <v>0</v>
      </c>
      <c r="I376" s="70" t="s">
        <v>357</v>
      </c>
    </row>
    <row r="377" spans="1:9" ht="12.75">
      <c r="A377" s="113">
        <f t="shared" si="31"/>
        <v>188</v>
      </c>
      <c r="B377" s="223" t="s">
        <v>154</v>
      </c>
      <c r="C377" s="107" t="s">
        <v>247</v>
      </c>
      <c r="D377" s="124" t="s">
        <v>155</v>
      </c>
      <c r="E377" s="109" t="s">
        <v>238</v>
      </c>
      <c r="F377" s="162">
        <f>+F376</f>
        <v>38.6</v>
      </c>
      <c r="G377" s="190"/>
      <c r="H377" s="110">
        <f t="shared" si="30"/>
        <v>0</v>
      </c>
      <c r="I377" s="70" t="s">
        <v>357</v>
      </c>
    </row>
    <row r="378" spans="1:9" ht="12.75">
      <c r="A378" s="113">
        <f t="shared" si="31"/>
        <v>189</v>
      </c>
      <c r="B378" s="223"/>
      <c r="C378" s="107" t="s">
        <v>247</v>
      </c>
      <c r="D378" s="139" t="s">
        <v>432</v>
      </c>
      <c r="E378" s="109" t="s">
        <v>234</v>
      </c>
      <c r="F378" s="162">
        <v>1</v>
      </c>
      <c r="G378" s="190"/>
      <c r="H378" s="110">
        <f>F378*G378</f>
        <v>0</v>
      </c>
      <c r="I378" s="70" t="s">
        <v>357</v>
      </c>
    </row>
    <row r="379" spans="1:9" ht="13.5" thickBot="1">
      <c r="A379" s="113">
        <f t="shared" si="31"/>
        <v>190</v>
      </c>
      <c r="B379" s="223"/>
      <c r="C379" s="107"/>
      <c r="D379" s="108" t="s">
        <v>262</v>
      </c>
      <c r="E379" s="133" t="s">
        <v>243</v>
      </c>
      <c r="F379" s="162">
        <f>SUM(H369:H375)</f>
        <v>0</v>
      </c>
      <c r="G379" s="212"/>
      <c r="H379" s="134">
        <f t="shared" si="30"/>
        <v>0</v>
      </c>
      <c r="I379" s="70" t="s">
        <v>357</v>
      </c>
    </row>
    <row r="380" spans="1:9" ht="13.5" thickBot="1">
      <c r="A380" s="106"/>
      <c r="B380" s="223"/>
      <c r="C380" s="107"/>
      <c r="D380" s="125" t="s">
        <v>236</v>
      </c>
      <c r="E380" s="126"/>
      <c r="F380" s="165"/>
      <c r="G380" s="127"/>
      <c r="H380" s="118">
        <f>SUBTOTAL(9,H369:H379)</f>
        <v>0</v>
      </c>
      <c r="I380" s="70"/>
    </row>
    <row r="381" spans="1:9" ht="12.75">
      <c r="A381" s="106"/>
      <c r="B381" s="223"/>
      <c r="C381" s="107"/>
      <c r="D381" s="119"/>
      <c r="E381" s="120"/>
      <c r="F381" s="150"/>
      <c r="G381" s="49"/>
      <c r="H381" s="121"/>
      <c r="I381" s="70"/>
    </row>
    <row r="382" spans="1:9" ht="12.75">
      <c r="A382" s="106"/>
      <c r="B382" s="223"/>
      <c r="C382" s="107"/>
      <c r="D382" s="119"/>
      <c r="E382" s="120"/>
      <c r="F382" s="150"/>
      <c r="G382" s="49"/>
      <c r="H382" s="121"/>
      <c r="I382" s="70"/>
    </row>
    <row r="383" spans="1:9" ht="16.5">
      <c r="A383" s="106"/>
      <c r="B383" s="223"/>
      <c r="C383" s="122" t="s">
        <v>55</v>
      </c>
      <c r="D383" s="104" t="s">
        <v>275</v>
      </c>
      <c r="E383" s="104"/>
      <c r="F383" s="104"/>
      <c r="G383" s="104"/>
      <c r="H383" s="104"/>
      <c r="I383" s="70"/>
    </row>
    <row r="384" spans="1:18" ht="86.25" customHeight="1">
      <c r="A384" s="106"/>
      <c r="B384" s="223"/>
      <c r="C384" s="103"/>
      <c r="D384" s="303" t="s">
        <v>80</v>
      </c>
      <c r="E384" s="303"/>
      <c r="F384" s="303"/>
      <c r="G384" s="187"/>
      <c r="H384" s="187"/>
      <c r="I384" s="70"/>
      <c r="Q384" s="10"/>
      <c r="R384" s="2"/>
    </row>
    <row r="385" spans="1:11" ht="13.5" customHeight="1">
      <c r="A385" s="106">
        <f>A379+1</f>
        <v>191</v>
      </c>
      <c r="B385" s="223" t="s">
        <v>157</v>
      </c>
      <c r="C385" s="107" t="s">
        <v>247</v>
      </c>
      <c r="D385" s="108" t="s">
        <v>156</v>
      </c>
      <c r="E385" s="109" t="s">
        <v>237</v>
      </c>
      <c r="F385" s="162">
        <f>+F386+F387</f>
        <v>2</v>
      </c>
      <c r="G385" s="190"/>
      <c r="H385" s="110">
        <f>F385*G385</f>
        <v>0</v>
      </c>
      <c r="I385" s="70" t="s">
        <v>357</v>
      </c>
      <c r="K385" s="7"/>
    </row>
    <row r="386" spans="1:11" ht="38.25">
      <c r="A386" s="106">
        <f>A385+1</f>
        <v>192</v>
      </c>
      <c r="B386" s="223"/>
      <c r="C386" s="128" t="s">
        <v>246</v>
      </c>
      <c r="D386" s="129" t="s">
        <v>618</v>
      </c>
      <c r="E386" s="130" t="s">
        <v>237</v>
      </c>
      <c r="F386" s="167">
        <v>1</v>
      </c>
      <c r="G386" s="210"/>
      <c r="H386" s="131">
        <f aca="true" t="shared" si="32" ref="H386:H413">F386*G386</f>
        <v>0</v>
      </c>
      <c r="I386" s="70" t="s">
        <v>357</v>
      </c>
      <c r="K386" s="193" t="s">
        <v>620</v>
      </c>
    </row>
    <row r="387" spans="1:11" ht="38.25">
      <c r="A387" s="106">
        <f aca="true" t="shared" si="33" ref="A387:A413">A386+1</f>
        <v>193</v>
      </c>
      <c r="B387" s="223"/>
      <c r="C387" s="128" t="s">
        <v>246</v>
      </c>
      <c r="D387" s="129" t="s">
        <v>617</v>
      </c>
      <c r="E387" s="130" t="s">
        <v>237</v>
      </c>
      <c r="F387" s="167">
        <v>1</v>
      </c>
      <c r="G387" s="210"/>
      <c r="H387" s="131">
        <f t="shared" si="32"/>
        <v>0</v>
      </c>
      <c r="I387" s="70" t="s">
        <v>363</v>
      </c>
      <c r="K387" s="193" t="s">
        <v>621</v>
      </c>
    </row>
    <row r="388" spans="1:9" ht="12.75">
      <c r="A388" s="106">
        <f t="shared" si="33"/>
        <v>194</v>
      </c>
      <c r="B388" s="223" t="s">
        <v>102</v>
      </c>
      <c r="C388" s="107" t="s">
        <v>247</v>
      </c>
      <c r="D388" s="108" t="s">
        <v>706</v>
      </c>
      <c r="E388" s="109" t="s">
        <v>237</v>
      </c>
      <c r="F388" s="162">
        <v>2</v>
      </c>
      <c r="G388" s="190"/>
      <c r="H388" s="110">
        <f t="shared" si="32"/>
        <v>0</v>
      </c>
      <c r="I388" s="70" t="s">
        <v>357</v>
      </c>
    </row>
    <row r="389" spans="1:9" ht="12.75">
      <c r="A389" s="106">
        <f t="shared" si="33"/>
        <v>195</v>
      </c>
      <c r="B389" s="223"/>
      <c r="C389" s="128" t="s">
        <v>246</v>
      </c>
      <c r="D389" s="129" t="s">
        <v>158</v>
      </c>
      <c r="E389" s="130" t="s">
        <v>237</v>
      </c>
      <c r="F389" s="166">
        <f>+F386+F387</f>
        <v>2</v>
      </c>
      <c r="G389" s="210"/>
      <c r="H389" s="131">
        <f t="shared" si="32"/>
        <v>0</v>
      </c>
      <c r="I389" s="70" t="s">
        <v>357</v>
      </c>
    </row>
    <row r="390" spans="1:9" ht="12.75">
      <c r="A390" s="106">
        <f t="shared" si="33"/>
        <v>196</v>
      </c>
      <c r="B390" s="223"/>
      <c r="C390" s="128" t="s">
        <v>246</v>
      </c>
      <c r="D390" s="129" t="s">
        <v>619</v>
      </c>
      <c r="E390" s="130" t="s">
        <v>237</v>
      </c>
      <c r="F390" s="166">
        <v>1</v>
      </c>
      <c r="G390" s="210"/>
      <c r="H390" s="131">
        <f t="shared" si="32"/>
        <v>0</v>
      </c>
      <c r="I390" s="70" t="s">
        <v>357</v>
      </c>
    </row>
    <row r="391" spans="1:9" ht="12.75">
      <c r="A391" s="106">
        <f t="shared" si="33"/>
        <v>197</v>
      </c>
      <c r="B391" s="223" t="s">
        <v>160</v>
      </c>
      <c r="C391" s="107" t="s">
        <v>247</v>
      </c>
      <c r="D391" s="108" t="s">
        <v>103</v>
      </c>
      <c r="E391" s="109" t="s">
        <v>237</v>
      </c>
      <c r="F391" s="162">
        <v>3</v>
      </c>
      <c r="G391" s="190"/>
      <c r="H391" s="110">
        <f t="shared" si="32"/>
        <v>0</v>
      </c>
      <c r="I391" s="70" t="s">
        <v>357</v>
      </c>
    </row>
    <row r="392" spans="1:9" ht="25.5">
      <c r="A392" s="106">
        <f t="shared" si="33"/>
        <v>198</v>
      </c>
      <c r="B392" s="223"/>
      <c r="C392" s="128" t="s">
        <v>246</v>
      </c>
      <c r="D392" s="129" t="s">
        <v>159</v>
      </c>
      <c r="E392" s="130" t="s">
        <v>237</v>
      </c>
      <c r="F392" s="167">
        <v>1</v>
      </c>
      <c r="G392" s="210"/>
      <c r="H392" s="131">
        <f t="shared" si="32"/>
        <v>0</v>
      </c>
      <c r="I392" s="70" t="s">
        <v>357</v>
      </c>
    </row>
    <row r="393" spans="1:9" ht="25.5">
      <c r="A393" s="106">
        <f t="shared" si="33"/>
        <v>199</v>
      </c>
      <c r="B393" s="223"/>
      <c r="C393" s="128" t="s">
        <v>246</v>
      </c>
      <c r="D393" s="129" t="s">
        <v>622</v>
      </c>
      <c r="E393" s="130" t="s">
        <v>237</v>
      </c>
      <c r="F393" s="167">
        <v>1</v>
      </c>
      <c r="G393" s="210"/>
      <c r="H393" s="131">
        <f>F393*G393</f>
        <v>0</v>
      </c>
      <c r="I393" s="70" t="s">
        <v>357</v>
      </c>
    </row>
    <row r="394" spans="1:9" ht="25.5">
      <c r="A394" s="106">
        <f t="shared" si="33"/>
        <v>200</v>
      </c>
      <c r="B394" s="223" t="s">
        <v>161</v>
      </c>
      <c r="C394" s="128"/>
      <c r="D394" s="108" t="s">
        <v>112</v>
      </c>
      <c r="E394" s="109" t="s">
        <v>237</v>
      </c>
      <c r="F394" s="162">
        <v>1</v>
      </c>
      <c r="G394" s="190"/>
      <c r="H394" s="110">
        <f t="shared" si="32"/>
        <v>0</v>
      </c>
      <c r="I394" s="70" t="s">
        <v>357</v>
      </c>
    </row>
    <row r="395" spans="1:11" ht="25.5">
      <c r="A395" s="106">
        <f t="shared" si="33"/>
        <v>201</v>
      </c>
      <c r="B395" s="223"/>
      <c r="C395" s="128" t="s">
        <v>246</v>
      </c>
      <c r="D395" s="129" t="s">
        <v>431</v>
      </c>
      <c r="E395" s="130" t="s">
        <v>237</v>
      </c>
      <c r="F395" s="167">
        <v>1</v>
      </c>
      <c r="G395" s="210"/>
      <c r="H395" s="131">
        <f t="shared" si="32"/>
        <v>0</v>
      </c>
      <c r="I395" s="70" t="s">
        <v>357</v>
      </c>
      <c r="K395" s="193" t="s">
        <v>625</v>
      </c>
    </row>
    <row r="396" spans="1:9" ht="38.25">
      <c r="A396" s="106">
        <f t="shared" si="33"/>
        <v>202</v>
      </c>
      <c r="B396" s="223"/>
      <c r="C396" s="128" t="s">
        <v>246</v>
      </c>
      <c r="D396" s="129" t="s">
        <v>162</v>
      </c>
      <c r="E396" s="130" t="s">
        <v>237</v>
      </c>
      <c r="F396" s="166">
        <v>1</v>
      </c>
      <c r="G396" s="210"/>
      <c r="H396" s="131">
        <f t="shared" si="32"/>
        <v>0</v>
      </c>
      <c r="I396" s="70" t="s">
        <v>357</v>
      </c>
    </row>
    <row r="397" spans="1:11" ht="25.5">
      <c r="A397" s="106">
        <f t="shared" si="33"/>
        <v>203</v>
      </c>
      <c r="B397" s="223"/>
      <c r="C397" s="128" t="s">
        <v>246</v>
      </c>
      <c r="D397" s="129" t="s">
        <v>626</v>
      </c>
      <c r="E397" s="130" t="s">
        <v>237</v>
      </c>
      <c r="F397" s="166">
        <v>1</v>
      </c>
      <c r="G397" s="210"/>
      <c r="H397" s="131">
        <f t="shared" si="32"/>
        <v>0</v>
      </c>
      <c r="I397" s="70" t="s">
        <v>357</v>
      </c>
      <c r="K397" s="193" t="s">
        <v>627</v>
      </c>
    </row>
    <row r="398" spans="1:9" ht="12.75">
      <c r="A398" s="106">
        <f t="shared" si="33"/>
        <v>204</v>
      </c>
      <c r="B398" s="223" t="s">
        <v>164</v>
      </c>
      <c r="C398" s="107" t="s">
        <v>247</v>
      </c>
      <c r="D398" s="108" t="s">
        <v>163</v>
      </c>
      <c r="E398" s="109" t="s">
        <v>237</v>
      </c>
      <c r="F398" s="162">
        <v>1</v>
      </c>
      <c r="G398" s="190"/>
      <c r="H398" s="110">
        <f t="shared" si="32"/>
        <v>0</v>
      </c>
      <c r="I398" s="177" t="s">
        <v>357</v>
      </c>
    </row>
    <row r="399" spans="1:9" ht="12.75">
      <c r="A399" s="106">
        <f t="shared" si="33"/>
        <v>205</v>
      </c>
      <c r="B399" s="223" t="s">
        <v>114</v>
      </c>
      <c r="C399" s="107" t="s">
        <v>247</v>
      </c>
      <c r="D399" s="108" t="s">
        <v>113</v>
      </c>
      <c r="E399" s="109" t="s">
        <v>237</v>
      </c>
      <c r="F399" s="162">
        <v>1</v>
      </c>
      <c r="G399" s="190"/>
      <c r="H399" s="110">
        <f t="shared" si="32"/>
        <v>0</v>
      </c>
      <c r="I399" s="177" t="s">
        <v>357</v>
      </c>
    </row>
    <row r="400" spans="1:9" ht="25.5">
      <c r="A400" s="106">
        <f t="shared" si="33"/>
        <v>206</v>
      </c>
      <c r="B400" s="223"/>
      <c r="C400" s="128"/>
      <c r="D400" s="129" t="s">
        <v>216</v>
      </c>
      <c r="E400" s="130" t="s">
        <v>237</v>
      </c>
      <c r="F400" s="167">
        <v>1</v>
      </c>
      <c r="G400" s="210"/>
      <c r="H400" s="131">
        <f t="shared" si="32"/>
        <v>0</v>
      </c>
      <c r="I400" s="70" t="s">
        <v>357</v>
      </c>
    </row>
    <row r="401" spans="1:9" ht="12.75">
      <c r="A401" s="106">
        <f t="shared" si="33"/>
        <v>207</v>
      </c>
      <c r="B401" s="223" t="s">
        <v>165</v>
      </c>
      <c r="C401" s="107" t="s">
        <v>247</v>
      </c>
      <c r="D401" s="108" t="s">
        <v>166</v>
      </c>
      <c r="E401" s="109" t="s">
        <v>237</v>
      </c>
      <c r="F401" s="162">
        <v>1</v>
      </c>
      <c r="G401" s="190"/>
      <c r="H401" s="110">
        <f t="shared" si="32"/>
        <v>0</v>
      </c>
      <c r="I401" s="70" t="s">
        <v>357</v>
      </c>
    </row>
    <row r="402" spans="1:9" ht="25.5">
      <c r="A402" s="106">
        <f t="shared" si="33"/>
        <v>208</v>
      </c>
      <c r="B402" s="223"/>
      <c r="C402" s="128" t="s">
        <v>246</v>
      </c>
      <c r="D402" s="129" t="s">
        <v>217</v>
      </c>
      <c r="E402" s="130" t="s">
        <v>237</v>
      </c>
      <c r="F402" s="167">
        <v>1</v>
      </c>
      <c r="G402" s="210"/>
      <c r="H402" s="131">
        <f t="shared" si="32"/>
        <v>0</v>
      </c>
      <c r="I402" s="70" t="s">
        <v>357</v>
      </c>
    </row>
    <row r="403" spans="1:11" ht="12.75">
      <c r="A403" s="106">
        <f t="shared" si="33"/>
        <v>209</v>
      </c>
      <c r="B403" s="223" t="s">
        <v>73</v>
      </c>
      <c r="C403" s="107" t="s">
        <v>247</v>
      </c>
      <c r="D403" s="108" t="s">
        <v>74</v>
      </c>
      <c r="E403" s="109" t="s">
        <v>237</v>
      </c>
      <c r="F403" s="162">
        <v>1</v>
      </c>
      <c r="G403" s="190"/>
      <c r="H403" s="110">
        <f t="shared" si="32"/>
        <v>0</v>
      </c>
      <c r="I403" s="70" t="s">
        <v>357</v>
      </c>
      <c r="K403" s="7"/>
    </row>
    <row r="404" spans="1:9" ht="25.5">
      <c r="A404" s="106">
        <f t="shared" si="33"/>
        <v>210</v>
      </c>
      <c r="B404" s="223"/>
      <c r="C404" s="128" t="s">
        <v>246</v>
      </c>
      <c r="D404" s="129" t="s">
        <v>394</v>
      </c>
      <c r="E404" s="130" t="s">
        <v>237</v>
      </c>
      <c r="F404" s="166">
        <v>1</v>
      </c>
      <c r="G404" s="210"/>
      <c r="H404" s="131">
        <f t="shared" si="32"/>
        <v>0</v>
      </c>
      <c r="I404" s="70" t="s">
        <v>357</v>
      </c>
    </row>
    <row r="405" spans="1:9" ht="12.75">
      <c r="A405" s="106">
        <f t="shared" si="33"/>
        <v>211</v>
      </c>
      <c r="B405" s="223" t="s">
        <v>71</v>
      </c>
      <c r="C405" s="107" t="s">
        <v>247</v>
      </c>
      <c r="D405" s="108" t="s">
        <v>64</v>
      </c>
      <c r="E405" s="109" t="s">
        <v>237</v>
      </c>
      <c r="F405" s="162">
        <v>1</v>
      </c>
      <c r="G405" s="190"/>
      <c r="H405" s="110">
        <f t="shared" si="32"/>
        <v>0</v>
      </c>
      <c r="I405" s="70" t="s">
        <v>357</v>
      </c>
    </row>
    <row r="406" spans="1:9" ht="25.5">
      <c r="A406" s="106">
        <f t="shared" si="33"/>
        <v>212</v>
      </c>
      <c r="B406" s="223"/>
      <c r="C406" s="128" t="s">
        <v>246</v>
      </c>
      <c r="D406" s="129" t="s">
        <v>33</v>
      </c>
      <c r="E406" s="130" t="s">
        <v>237</v>
      </c>
      <c r="F406" s="167">
        <v>1</v>
      </c>
      <c r="G406" s="210"/>
      <c r="H406" s="131">
        <f t="shared" si="32"/>
        <v>0</v>
      </c>
      <c r="I406" s="70" t="s">
        <v>357</v>
      </c>
    </row>
    <row r="407" spans="1:11" ht="12.75">
      <c r="A407" s="106">
        <f t="shared" si="33"/>
        <v>213</v>
      </c>
      <c r="B407" s="237"/>
      <c r="C407" s="221" t="s">
        <v>247</v>
      </c>
      <c r="D407" s="108" t="s">
        <v>630</v>
      </c>
      <c r="E407" s="109" t="s">
        <v>237</v>
      </c>
      <c r="F407" s="162">
        <v>1</v>
      </c>
      <c r="G407" s="190"/>
      <c r="H407" s="110">
        <f>F407*G407</f>
        <v>0</v>
      </c>
      <c r="I407" s="70" t="s">
        <v>357</v>
      </c>
      <c r="K407" s="7"/>
    </row>
    <row r="408" spans="1:9" ht="25.5">
      <c r="A408" s="106">
        <f>A406+1</f>
        <v>213</v>
      </c>
      <c r="B408" s="223"/>
      <c r="C408" s="128" t="s">
        <v>246</v>
      </c>
      <c r="D408" s="129" t="s">
        <v>298</v>
      </c>
      <c r="E408" s="130" t="s">
        <v>237</v>
      </c>
      <c r="F408" s="166">
        <v>1</v>
      </c>
      <c r="G408" s="210"/>
      <c r="H408" s="131">
        <f t="shared" si="32"/>
        <v>0</v>
      </c>
      <c r="I408" s="70" t="s">
        <v>357</v>
      </c>
    </row>
    <row r="409" spans="1:9" ht="12.75">
      <c r="A409" s="106">
        <f>A408+1</f>
        <v>214</v>
      </c>
      <c r="B409" s="223" t="s">
        <v>104</v>
      </c>
      <c r="C409" s="128"/>
      <c r="D409" s="108" t="s">
        <v>105</v>
      </c>
      <c r="E409" s="109" t="s">
        <v>237</v>
      </c>
      <c r="F409" s="162">
        <f>+F410</f>
        <v>7</v>
      </c>
      <c r="G409" s="190"/>
      <c r="H409" s="110">
        <f t="shared" si="32"/>
        <v>0</v>
      </c>
      <c r="I409" s="70" t="s">
        <v>357</v>
      </c>
    </row>
    <row r="410" spans="1:9" ht="12.75">
      <c r="A410" s="106">
        <f t="shared" si="33"/>
        <v>215</v>
      </c>
      <c r="B410" s="223"/>
      <c r="C410" s="128" t="s">
        <v>246</v>
      </c>
      <c r="D410" s="129" t="s">
        <v>306</v>
      </c>
      <c r="E410" s="130" t="s">
        <v>237</v>
      </c>
      <c r="F410" s="166">
        <v>7</v>
      </c>
      <c r="G410" s="210"/>
      <c r="H410" s="131">
        <f t="shared" si="32"/>
        <v>0</v>
      </c>
      <c r="I410" s="70" t="s">
        <v>357</v>
      </c>
    </row>
    <row r="411" spans="1:9" ht="12.75">
      <c r="A411" s="106">
        <f t="shared" si="33"/>
        <v>216</v>
      </c>
      <c r="B411" s="223" t="s">
        <v>629</v>
      </c>
      <c r="C411" s="222" t="s">
        <v>247</v>
      </c>
      <c r="D411" s="108" t="s">
        <v>628</v>
      </c>
      <c r="E411" s="109" t="s">
        <v>237</v>
      </c>
      <c r="F411" s="162">
        <v>1</v>
      </c>
      <c r="G411" s="190"/>
      <c r="H411" s="110">
        <f>F411*G411</f>
        <v>0</v>
      </c>
      <c r="I411" s="70" t="s">
        <v>357</v>
      </c>
    </row>
    <row r="412" spans="1:9" ht="38.25">
      <c r="A412" s="106">
        <f t="shared" si="33"/>
        <v>217</v>
      </c>
      <c r="B412" s="223"/>
      <c r="C412" s="246" t="s">
        <v>246</v>
      </c>
      <c r="D412" s="129" t="s">
        <v>69</v>
      </c>
      <c r="E412" s="130" t="s">
        <v>237</v>
      </c>
      <c r="F412" s="166">
        <v>1</v>
      </c>
      <c r="G412" s="210"/>
      <c r="H412" s="131">
        <f>F412*G412</f>
        <v>0</v>
      </c>
      <c r="I412" s="70" t="s">
        <v>357</v>
      </c>
    </row>
    <row r="413" spans="1:9" ht="12.75" customHeight="1" thickBot="1">
      <c r="A413" s="106">
        <f t="shared" si="33"/>
        <v>218</v>
      </c>
      <c r="B413" s="223"/>
      <c r="C413" s="107"/>
      <c r="D413" s="108" t="s">
        <v>262</v>
      </c>
      <c r="E413" s="133" t="s">
        <v>243</v>
      </c>
      <c r="F413" s="162">
        <f>SUM(H386,H387,H389:H390,H392:H393,H395:H397,H400,H402,H404,H406,H408,H410,H412)</f>
        <v>0</v>
      </c>
      <c r="G413" s="212"/>
      <c r="H413" s="134">
        <f t="shared" si="32"/>
        <v>0</v>
      </c>
      <c r="I413" s="70" t="s">
        <v>357</v>
      </c>
    </row>
    <row r="414" spans="1:9" ht="13.5" thickBot="1">
      <c r="A414" s="106"/>
      <c r="B414" s="223"/>
      <c r="C414" s="107"/>
      <c r="D414" s="125" t="s">
        <v>236</v>
      </c>
      <c r="E414" s="126"/>
      <c r="F414" s="165"/>
      <c r="G414" s="127"/>
      <c r="H414" s="118">
        <f>SUBTOTAL(9,H385:H413)</f>
        <v>0</v>
      </c>
      <c r="I414" s="70"/>
    </row>
    <row r="415" spans="1:9" ht="13.5" thickBot="1">
      <c r="A415" s="106"/>
      <c r="B415" s="223"/>
      <c r="C415" s="107"/>
      <c r="D415" s="119"/>
      <c r="E415" s="120"/>
      <c r="F415" s="150"/>
      <c r="G415" s="49"/>
      <c r="H415" s="121"/>
      <c r="I415" s="70"/>
    </row>
    <row r="416" spans="1:9" ht="16.5">
      <c r="A416" s="106"/>
      <c r="B416" s="223"/>
      <c r="C416" s="122" t="s">
        <v>56</v>
      </c>
      <c r="D416" s="206" t="s">
        <v>276</v>
      </c>
      <c r="E416" s="206"/>
      <c r="F416" s="206"/>
      <c r="G416" s="206"/>
      <c r="H416" s="206"/>
      <c r="I416" s="70"/>
    </row>
    <row r="417" spans="1:9" ht="82.5" customHeight="1">
      <c r="A417" s="106"/>
      <c r="B417" s="223"/>
      <c r="C417" s="103"/>
      <c r="D417" s="303" t="s">
        <v>305</v>
      </c>
      <c r="E417" s="303"/>
      <c r="F417" s="303"/>
      <c r="G417" s="187"/>
      <c r="H417" s="187"/>
      <c r="I417" s="70"/>
    </row>
    <row r="418" spans="1:11" ht="16.5">
      <c r="A418" s="113">
        <f>A413+1</f>
        <v>219</v>
      </c>
      <c r="B418" s="223" t="s">
        <v>632</v>
      </c>
      <c r="C418" s="222" t="s">
        <v>247</v>
      </c>
      <c r="D418" s="108" t="s">
        <v>631</v>
      </c>
      <c r="E418" s="109" t="s">
        <v>238</v>
      </c>
      <c r="F418" s="162">
        <f>F419</f>
        <v>6.7</v>
      </c>
      <c r="G418" s="190"/>
      <c r="H418" s="115">
        <f>F418*G418</f>
        <v>0</v>
      </c>
      <c r="I418" s="70" t="s">
        <v>363</v>
      </c>
      <c r="K418" s="193" t="s">
        <v>634</v>
      </c>
    </row>
    <row r="419" spans="1:11" ht="25.5">
      <c r="A419" s="106">
        <f>A418+1</f>
        <v>220</v>
      </c>
      <c r="B419" s="223"/>
      <c r="C419" s="246" t="s">
        <v>246</v>
      </c>
      <c r="D419" s="129" t="s">
        <v>407</v>
      </c>
      <c r="E419" s="130" t="s">
        <v>238</v>
      </c>
      <c r="F419" s="166">
        <v>6.7</v>
      </c>
      <c r="G419" s="210"/>
      <c r="H419" s="131">
        <f>F419*G419</f>
        <v>0</v>
      </c>
      <c r="I419" s="70" t="s">
        <v>363</v>
      </c>
      <c r="K419" s="193" t="s">
        <v>633</v>
      </c>
    </row>
    <row r="420" spans="1:9" ht="12.75">
      <c r="A420" s="106">
        <f aca="true" t="shared" si="34" ref="A420:A429">A419+1</f>
        <v>221</v>
      </c>
      <c r="B420" s="223"/>
      <c r="C420" s="128" t="s">
        <v>246</v>
      </c>
      <c r="D420" s="129" t="s">
        <v>400</v>
      </c>
      <c r="E420" s="130" t="s">
        <v>237</v>
      </c>
      <c r="F420" s="166">
        <v>1</v>
      </c>
      <c r="G420" s="210"/>
      <c r="H420" s="131">
        <f aca="true" t="shared" si="35" ref="H420:H439">F420*G420</f>
        <v>0</v>
      </c>
      <c r="I420" s="70" t="s">
        <v>363</v>
      </c>
    </row>
    <row r="421" spans="1:9" ht="12.75">
      <c r="A421" s="106">
        <f t="shared" si="34"/>
        <v>222</v>
      </c>
      <c r="B421" s="223"/>
      <c r="C421" s="128" t="s">
        <v>246</v>
      </c>
      <c r="D421" s="129" t="s">
        <v>206</v>
      </c>
      <c r="E421" s="130" t="s">
        <v>237</v>
      </c>
      <c r="F421" s="166">
        <v>1</v>
      </c>
      <c r="G421" s="210"/>
      <c r="H421" s="131">
        <f t="shared" si="35"/>
        <v>0</v>
      </c>
      <c r="I421" s="70" t="s">
        <v>363</v>
      </c>
    </row>
    <row r="422" spans="1:9" ht="12.75">
      <c r="A422" s="106">
        <f t="shared" si="34"/>
        <v>223</v>
      </c>
      <c r="B422" s="223"/>
      <c r="C422" s="128" t="s">
        <v>246</v>
      </c>
      <c r="D422" s="129" t="s">
        <v>406</v>
      </c>
      <c r="E422" s="130" t="s">
        <v>237</v>
      </c>
      <c r="F422" s="166">
        <v>1</v>
      </c>
      <c r="G422" s="210"/>
      <c r="H422" s="131">
        <f t="shared" si="35"/>
        <v>0</v>
      </c>
      <c r="I422" s="70" t="s">
        <v>363</v>
      </c>
    </row>
    <row r="423" spans="1:11" ht="16.5">
      <c r="A423" s="106">
        <f t="shared" si="34"/>
        <v>224</v>
      </c>
      <c r="B423" s="223" t="s">
        <v>643</v>
      </c>
      <c r="C423" s="222" t="s">
        <v>247</v>
      </c>
      <c r="D423" s="108" t="s">
        <v>642</v>
      </c>
      <c r="E423" s="109" t="s">
        <v>237</v>
      </c>
      <c r="F423" s="162">
        <v>1</v>
      </c>
      <c r="G423" s="190"/>
      <c r="H423" s="115">
        <f t="shared" si="35"/>
        <v>0</v>
      </c>
      <c r="I423" s="70" t="s">
        <v>363</v>
      </c>
      <c r="K423" s="193"/>
    </row>
    <row r="424" spans="1:9" ht="12.75">
      <c r="A424" s="106">
        <f t="shared" si="34"/>
        <v>225</v>
      </c>
      <c r="B424" s="223"/>
      <c r="C424" s="128" t="s">
        <v>246</v>
      </c>
      <c r="D424" s="129" t="s">
        <v>10</v>
      </c>
      <c r="E424" s="130" t="s">
        <v>237</v>
      </c>
      <c r="F424" s="166">
        <v>1</v>
      </c>
      <c r="G424" s="210"/>
      <c r="H424" s="131">
        <f t="shared" si="35"/>
        <v>0</v>
      </c>
      <c r="I424" s="70" t="s">
        <v>363</v>
      </c>
    </row>
    <row r="425" spans="1:11" ht="16.5">
      <c r="A425" s="106">
        <f t="shared" si="34"/>
        <v>226</v>
      </c>
      <c r="B425" s="223" t="s">
        <v>645</v>
      </c>
      <c r="C425" s="222" t="s">
        <v>247</v>
      </c>
      <c r="D425" s="108" t="s">
        <v>644</v>
      </c>
      <c r="E425" s="109" t="s">
        <v>237</v>
      </c>
      <c r="F425" s="162">
        <v>1</v>
      </c>
      <c r="G425" s="190"/>
      <c r="H425" s="115">
        <f t="shared" si="35"/>
        <v>0</v>
      </c>
      <c r="I425" s="70" t="s">
        <v>363</v>
      </c>
      <c r="K425" s="193"/>
    </row>
    <row r="426" spans="1:9" ht="12.75">
      <c r="A426" s="106">
        <f t="shared" si="34"/>
        <v>227</v>
      </c>
      <c r="B426" s="223"/>
      <c r="C426" s="128" t="s">
        <v>246</v>
      </c>
      <c r="D426" s="129" t="s">
        <v>408</v>
      </c>
      <c r="E426" s="130" t="s">
        <v>237</v>
      </c>
      <c r="F426" s="166">
        <v>1</v>
      </c>
      <c r="G426" s="210"/>
      <c r="H426" s="131">
        <f>F426*G426</f>
        <v>0</v>
      </c>
      <c r="I426" s="70" t="s">
        <v>363</v>
      </c>
    </row>
    <row r="427" spans="1:11" ht="16.5">
      <c r="A427" s="106">
        <f t="shared" si="34"/>
        <v>228</v>
      </c>
      <c r="B427" s="223"/>
      <c r="C427" s="222" t="s">
        <v>147</v>
      </c>
      <c r="D427" s="108" t="s">
        <v>705</v>
      </c>
      <c r="E427" s="109" t="s">
        <v>238</v>
      </c>
      <c r="F427" s="162">
        <v>5.5</v>
      </c>
      <c r="G427" s="190"/>
      <c r="H427" s="115">
        <f>F427*G427</f>
        <v>0</v>
      </c>
      <c r="I427" s="70" t="s">
        <v>363</v>
      </c>
      <c r="K427" s="193"/>
    </row>
    <row r="428" spans="1:11" ht="16.5">
      <c r="A428" s="106">
        <f t="shared" si="34"/>
        <v>229</v>
      </c>
      <c r="B428" s="223" t="s">
        <v>637</v>
      </c>
      <c r="C428" s="222" t="s">
        <v>247</v>
      </c>
      <c r="D428" s="108" t="s">
        <v>636</v>
      </c>
      <c r="E428" s="109" t="s">
        <v>238</v>
      </c>
      <c r="F428" s="162">
        <f>F429</f>
        <v>3.8</v>
      </c>
      <c r="G428" s="190"/>
      <c r="H428" s="115">
        <f>F428*G428</f>
        <v>0</v>
      </c>
      <c r="I428" s="70" t="s">
        <v>363</v>
      </c>
      <c r="K428" s="193"/>
    </row>
    <row r="429" spans="1:9" ht="25.5">
      <c r="A429" s="106">
        <f t="shared" si="34"/>
        <v>230</v>
      </c>
      <c r="B429" s="223"/>
      <c r="C429" s="128" t="s">
        <v>246</v>
      </c>
      <c r="D429" s="129" t="s">
        <v>635</v>
      </c>
      <c r="E429" s="130" t="s">
        <v>238</v>
      </c>
      <c r="F429" s="166">
        <f>2.8+1</f>
        <v>3.8</v>
      </c>
      <c r="G429" s="210"/>
      <c r="H429" s="131">
        <f t="shared" si="35"/>
        <v>0</v>
      </c>
      <c r="I429" s="70" t="s">
        <v>363</v>
      </c>
    </row>
    <row r="430" spans="1:9" ht="12.75">
      <c r="A430" s="106">
        <f aca="true" t="shared" si="36" ref="A430:A439">A429+1</f>
        <v>231</v>
      </c>
      <c r="B430" s="223"/>
      <c r="C430" s="128" t="s">
        <v>246</v>
      </c>
      <c r="D430" s="129" t="s">
        <v>638</v>
      </c>
      <c r="E430" s="130" t="s">
        <v>237</v>
      </c>
      <c r="F430" s="166">
        <v>3</v>
      </c>
      <c r="G430" s="210"/>
      <c r="H430" s="131">
        <f t="shared" si="35"/>
        <v>0</v>
      </c>
      <c r="I430" s="70" t="s">
        <v>363</v>
      </c>
    </row>
    <row r="431" spans="1:9" ht="12.75">
      <c r="A431" s="106">
        <f t="shared" si="36"/>
        <v>232</v>
      </c>
      <c r="B431" s="223"/>
      <c r="C431" s="128" t="s">
        <v>246</v>
      </c>
      <c r="D431" s="129" t="s">
        <v>639</v>
      </c>
      <c r="E431" s="130" t="s">
        <v>237</v>
      </c>
      <c r="F431" s="166">
        <v>1</v>
      </c>
      <c r="G431" s="210"/>
      <c r="H431" s="131">
        <f>F431*G431</f>
        <v>0</v>
      </c>
      <c r="I431" s="70" t="s">
        <v>363</v>
      </c>
    </row>
    <row r="432" spans="1:9" ht="12.75">
      <c r="A432" s="106">
        <f t="shared" si="36"/>
        <v>233</v>
      </c>
      <c r="B432" s="223"/>
      <c r="C432" s="128" t="s">
        <v>246</v>
      </c>
      <c r="D432" s="129" t="s">
        <v>640</v>
      </c>
      <c r="E432" s="130" t="s">
        <v>237</v>
      </c>
      <c r="F432" s="166">
        <v>1</v>
      </c>
      <c r="G432" s="210"/>
      <c r="H432" s="131">
        <f>F432*G432</f>
        <v>0</v>
      </c>
      <c r="I432" s="70" t="s">
        <v>363</v>
      </c>
    </row>
    <row r="433" spans="1:11" ht="16.5">
      <c r="A433" s="106">
        <f t="shared" si="36"/>
        <v>234</v>
      </c>
      <c r="B433" s="223"/>
      <c r="C433" s="222" t="s">
        <v>247</v>
      </c>
      <c r="D433" s="108" t="s">
        <v>641</v>
      </c>
      <c r="E433" s="109" t="s">
        <v>238</v>
      </c>
      <c r="F433" s="162">
        <f>F434</f>
        <v>19</v>
      </c>
      <c r="G433" s="190"/>
      <c r="H433" s="115">
        <f>F433*G433</f>
        <v>0</v>
      </c>
      <c r="I433" s="70" t="s">
        <v>363</v>
      </c>
      <c r="K433" s="193"/>
    </row>
    <row r="434" spans="1:9" ht="12.75">
      <c r="A434" s="106">
        <f t="shared" si="36"/>
        <v>235</v>
      </c>
      <c r="B434" s="223"/>
      <c r="C434" s="128" t="s">
        <v>246</v>
      </c>
      <c r="D434" s="129" t="s">
        <v>433</v>
      </c>
      <c r="E434" s="130" t="s">
        <v>238</v>
      </c>
      <c r="F434" s="166">
        <v>19</v>
      </c>
      <c r="G434" s="210"/>
      <c r="H434" s="131">
        <f t="shared" si="35"/>
        <v>0</v>
      </c>
      <c r="I434" s="70" t="s">
        <v>363</v>
      </c>
    </row>
    <row r="435" spans="1:11" ht="16.5">
      <c r="A435" s="106">
        <f t="shared" si="36"/>
        <v>236</v>
      </c>
      <c r="B435" s="223" t="s">
        <v>648</v>
      </c>
      <c r="C435" s="222" t="s">
        <v>647</v>
      </c>
      <c r="D435" s="108" t="s">
        <v>646</v>
      </c>
      <c r="E435" s="109" t="s">
        <v>237</v>
      </c>
      <c r="F435" s="162">
        <v>1</v>
      </c>
      <c r="G435" s="190"/>
      <c r="H435" s="115">
        <f t="shared" si="35"/>
        <v>0</v>
      </c>
      <c r="I435" s="70" t="s">
        <v>363</v>
      </c>
      <c r="K435" s="193"/>
    </row>
    <row r="436" spans="1:9" ht="25.5">
      <c r="A436" s="106">
        <f t="shared" si="36"/>
        <v>237</v>
      </c>
      <c r="B436" s="223"/>
      <c r="C436" s="128" t="s">
        <v>246</v>
      </c>
      <c r="D436" s="129" t="s">
        <v>11</v>
      </c>
      <c r="E436" s="130" t="s">
        <v>234</v>
      </c>
      <c r="F436" s="166">
        <v>1</v>
      </c>
      <c r="G436" s="210"/>
      <c r="H436" s="131">
        <f t="shared" si="35"/>
        <v>0</v>
      </c>
      <c r="I436" s="70" t="s">
        <v>363</v>
      </c>
    </row>
    <row r="437" spans="1:10" ht="12.75">
      <c r="A437" s="106">
        <f t="shared" si="36"/>
        <v>238</v>
      </c>
      <c r="B437" s="232"/>
      <c r="C437" s="224" t="s">
        <v>247</v>
      </c>
      <c r="D437" s="111" t="s">
        <v>191</v>
      </c>
      <c r="E437" s="114" t="s">
        <v>234</v>
      </c>
      <c r="F437" s="163">
        <v>1</v>
      </c>
      <c r="G437" s="190"/>
      <c r="H437" s="115">
        <f t="shared" si="35"/>
        <v>0</v>
      </c>
      <c r="I437" s="28" t="s">
        <v>357</v>
      </c>
      <c r="J437" s="171"/>
    </row>
    <row r="438" spans="1:22" ht="12.75">
      <c r="A438" s="106">
        <f t="shared" si="36"/>
        <v>239</v>
      </c>
      <c r="B438" s="223"/>
      <c r="C438" s="107" t="s">
        <v>246</v>
      </c>
      <c r="D438" s="108" t="s">
        <v>34</v>
      </c>
      <c r="E438" s="109" t="s">
        <v>234</v>
      </c>
      <c r="F438" s="162">
        <v>1</v>
      </c>
      <c r="G438" s="190"/>
      <c r="H438" s="110">
        <f t="shared" si="35"/>
        <v>0</v>
      </c>
      <c r="I438" s="177" t="s">
        <v>363</v>
      </c>
      <c r="J438" s="182"/>
      <c r="K438" s="1"/>
      <c r="O438" s="3"/>
      <c r="R438" s="9"/>
      <c r="V438" s="183"/>
    </row>
    <row r="439" spans="1:10" ht="13.5" thickBot="1">
      <c r="A439" s="106">
        <f t="shared" si="36"/>
        <v>240</v>
      </c>
      <c r="B439" s="232"/>
      <c r="C439" s="138"/>
      <c r="D439" s="111" t="s">
        <v>262</v>
      </c>
      <c r="E439" s="140" t="s">
        <v>243</v>
      </c>
      <c r="F439" s="163">
        <f>SUM(H419:H427,H429:H432,H434:H436)</f>
        <v>0</v>
      </c>
      <c r="G439" s="213"/>
      <c r="H439" s="141">
        <f t="shared" si="35"/>
        <v>0</v>
      </c>
      <c r="I439" s="28" t="s">
        <v>363</v>
      </c>
      <c r="J439" s="171"/>
    </row>
    <row r="440" spans="1:8" ht="13.5" thickBot="1">
      <c r="A440" s="106"/>
      <c r="B440" s="223"/>
      <c r="C440" s="107"/>
      <c r="D440" s="125" t="s">
        <v>236</v>
      </c>
      <c r="E440" s="126"/>
      <c r="F440" s="165"/>
      <c r="G440" s="127"/>
      <c r="H440" s="118">
        <f>SUM(H418:H439)</f>
        <v>0</v>
      </c>
    </row>
    <row r="441" spans="1:8" ht="12.75">
      <c r="A441" s="106"/>
      <c r="B441" s="223"/>
      <c r="C441" s="107"/>
      <c r="D441" s="119"/>
      <c r="E441" s="120"/>
      <c r="F441" s="150"/>
      <c r="G441" s="49"/>
      <c r="H441" s="121"/>
    </row>
    <row r="442" spans="1:8" ht="16.5">
      <c r="A442" s="113"/>
      <c r="B442" s="232"/>
      <c r="C442" s="179" t="s">
        <v>57</v>
      </c>
      <c r="D442" s="207" t="s">
        <v>430</v>
      </c>
      <c r="E442" s="208"/>
      <c r="F442" s="208"/>
      <c r="G442" s="208"/>
      <c r="H442" s="208"/>
    </row>
    <row r="443" spans="1:8" ht="52.5" customHeight="1">
      <c r="A443" s="113"/>
      <c r="B443" s="232"/>
      <c r="C443" s="142"/>
      <c r="D443" s="303" t="s">
        <v>207</v>
      </c>
      <c r="E443" s="303"/>
      <c r="F443" s="303"/>
      <c r="G443" s="186"/>
      <c r="H443" s="186"/>
    </row>
    <row r="444" spans="1:10" ht="25.5">
      <c r="A444" s="113">
        <f>A439+1</f>
        <v>241</v>
      </c>
      <c r="B444" s="232"/>
      <c r="C444" s="138" t="s">
        <v>246</v>
      </c>
      <c r="D444" s="135" t="s">
        <v>12</v>
      </c>
      <c r="E444" s="136" t="s">
        <v>237</v>
      </c>
      <c r="F444" s="166">
        <v>1</v>
      </c>
      <c r="G444" s="210"/>
      <c r="H444" s="137">
        <f>F444*G444</f>
        <v>0</v>
      </c>
      <c r="I444" s="28" t="s">
        <v>363</v>
      </c>
      <c r="J444" s="171"/>
    </row>
    <row r="445" spans="1:10" ht="25.5">
      <c r="A445" s="113">
        <f>A444+1</f>
        <v>242</v>
      </c>
      <c r="B445" s="232"/>
      <c r="C445" s="138" t="s">
        <v>246</v>
      </c>
      <c r="D445" s="135" t="s">
        <v>15</v>
      </c>
      <c r="E445" s="136" t="s">
        <v>237</v>
      </c>
      <c r="F445" s="166">
        <v>1</v>
      </c>
      <c r="G445" s="210"/>
      <c r="H445" s="137">
        <f>F445*G445</f>
        <v>0</v>
      </c>
      <c r="I445" s="28" t="s">
        <v>363</v>
      </c>
      <c r="J445" s="171"/>
    </row>
    <row r="446" spans="1:10" ht="12.75">
      <c r="A446" s="113">
        <f>A445+1</f>
        <v>243</v>
      </c>
      <c r="B446" s="232" t="s">
        <v>650</v>
      </c>
      <c r="C446" s="138" t="s">
        <v>247</v>
      </c>
      <c r="D446" s="111" t="s">
        <v>649</v>
      </c>
      <c r="E446" s="111" t="s">
        <v>237</v>
      </c>
      <c r="F446" s="162">
        <v>2</v>
      </c>
      <c r="G446" s="190"/>
      <c r="H446" s="115">
        <f>F446*G446</f>
        <v>0</v>
      </c>
      <c r="I446" s="28" t="s">
        <v>363</v>
      </c>
      <c r="J446" s="171"/>
    </row>
    <row r="447" spans="1:10" ht="13.5" thickBot="1">
      <c r="A447" s="113">
        <f>A446+1</f>
        <v>244</v>
      </c>
      <c r="B447" s="232"/>
      <c r="C447" s="138"/>
      <c r="D447" s="111" t="s">
        <v>262</v>
      </c>
      <c r="E447" s="114" t="s">
        <v>243</v>
      </c>
      <c r="F447" s="163">
        <f>+H444+H445</f>
        <v>0</v>
      </c>
      <c r="G447" s="213"/>
      <c r="H447" s="141">
        <f>F447*G447</f>
        <v>0</v>
      </c>
      <c r="I447" s="28" t="s">
        <v>363</v>
      </c>
      <c r="J447" s="171"/>
    </row>
    <row r="448" spans="1:8" ht="13.5" thickBot="1">
      <c r="A448" s="113"/>
      <c r="B448" s="232"/>
      <c r="C448" s="138"/>
      <c r="D448" s="125" t="s">
        <v>236</v>
      </c>
      <c r="E448" s="126"/>
      <c r="F448" s="169"/>
      <c r="G448" s="298"/>
      <c r="H448" s="118">
        <f>SUBTOTAL(9,H444:H447)</f>
        <v>0</v>
      </c>
    </row>
    <row r="449" spans="1:9" ht="12.75">
      <c r="A449" s="106"/>
      <c r="B449" s="223"/>
      <c r="C449" s="107"/>
      <c r="D449" s="119"/>
      <c r="E449" s="120"/>
      <c r="F449" s="150"/>
      <c r="G449" s="49"/>
      <c r="H449" s="121"/>
      <c r="I449" s="70"/>
    </row>
    <row r="450" spans="1:8" ht="16.5">
      <c r="A450" s="113"/>
      <c r="B450" s="232"/>
      <c r="C450" s="179" t="s">
        <v>58</v>
      </c>
      <c r="D450" s="207" t="s">
        <v>208</v>
      </c>
      <c r="E450" s="208"/>
      <c r="F450" s="208"/>
      <c r="G450" s="208"/>
      <c r="H450" s="208"/>
    </row>
    <row r="451" spans="1:8" ht="56.25" customHeight="1">
      <c r="A451" s="113"/>
      <c r="B451" s="232"/>
      <c r="C451" s="142"/>
      <c r="D451" s="303" t="s">
        <v>207</v>
      </c>
      <c r="E451" s="303"/>
      <c r="F451" s="303"/>
      <c r="G451" s="186"/>
      <c r="H451" s="186"/>
    </row>
    <row r="452" spans="1:10" ht="25.5">
      <c r="A452" s="113">
        <f>A447+1</f>
        <v>245</v>
      </c>
      <c r="B452" s="232" t="s">
        <v>652</v>
      </c>
      <c r="C452" s="138" t="s">
        <v>246</v>
      </c>
      <c r="D452" s="135" t="s">
        <v>651</v>
      </c>
      <c r="E452" s="136" t="s">
        <v>238</v>
      </c>
      <c r="F452" s="166">
        <f>4.7+2.8+2.3+4.75+2.2</f>
        <v>16.75</v>
      </c>
      <c r="G452" s="210"/>
      <c r="H452" s="137">
        <f aca="true" t="shared" si="37" ref="H452:H466">F452*G452</f>
        <v>0</v>
      </c>
      <c r="I452" s="28" t="s">
        <v>357</v>
      </c>
      <c r="J452" s="171"/>
    </row>
    <row r="453" spans="1:24" ht="12.75">
      <c r="A453" s="113">
        <f>+A452+1</f>
        <v>246</v>
      </c>
      <c r="B453" s="232" t="s">
        <v>661</v>
      </c>
      <c r="C453" s="299" t="s">
        <v>247</v>
      </c>
      <c r="D453" s="124" t="s">
        <v>662</v>
      </c>
      <c r="E453" s="114" t="s">
        <v>238</v>
      </c>
      <c r="F453" s="163">
        <f>F452</f>
        <v>16.75</v>
      </c>
      <c r="G453" s="190"/>
      <c r="H453" s="115">
        <f t="shared" si="37"/>
        <v>0</v>
      </c>
      <c r="I453" s="191" t="s">
        <v>357</v>
      </c>
      <c r="J453" s="171"/>
      <c r="M453" s="192"/>
      <c r="V453" s="182"/>
      <c r="W453" s="182"/>
      <c r="X453" s="182"/>
    </row>
    <row r="454" spans="1:10" ht="25.5">
      <c r="A454" s="113">
        <f>+A453+1</f>
        <v>247</v>
      </c>
      <c r="B454" s="232" t="s">
        <v>654</v>
      </c>
      <c r="C454" s="138" t="s">
        <v>246</v>
      </c>
      <c r="D454" s="135" t="s">
        <v>653</v>
      </c>
      <c r="E454" s="136" t="s">
        <v>238</v>
      </c>
      <c r="F454" s="166">
        <v>3.8</v>
      </c>
      <c r="G454" s="210"/>
      <c r="H454" s="137">
        <f t="shared" si="37"/>
        <v>0</v>
      </c>
      <c r="I454" s="28" t="s">
        <v>357</v>
      </c>
      <c r="J454" s="171"/>
    </row>
    <row r="455" spans="1:24" ht="12.75">
      <c r="A455" s="113">
        <f aca="true" t="shared" si="38" ref="A455:A462">+A454+1</f>
        <v>248</v>
      </c>
      <c r="B455" s="232" t="s">
        <v>664</v>
      </c>
      <c r="C455" s="299" t="s">
        <v>247</v>
      </c>
      <c r="D455" s="124" t="s">
        <v>663</v>
      </c>
      <c r="E455" s="114" t="s">
        <v>238</v>
      </c>
      <c r="F455" s="163">
        <f>F454</f>
        <v>3.8</v>
      </c>
      <c r="G455" s="190"/>
      <c r="H455" s="115">
        <f t="shared" si="37"/>
        <v>0</v>
      </c>
      <c r="I455" s="191" t="s">
        <v>357</v>
      </c>
      <c r="M455" s="192"/>
      <c r="V455" s="182"/>
      <c r="W455" s="182"/>
      <c r="X455" s="182"/>
    </row>
    <row r="456" spans="1:24" ht="12.75">
      <c r="A456" s="113">
        <f t="shared" si="38"/>
        <v>249</v>
      </c>
      <c r="B456" s="232"/>
      <c r="C456" s="138" t="s">
        <v>246</v>
      </c>
      <c r="D456" s="300" t="s">
        <v>665</v>
      </c>
      <c r="E456" s="114" t="s">
        <v>238</v>
      </c>
      <c r="F456" s="163">
        <v>0.17</v>
      </c>
      <c r="G456" s="190"/>
      <c r="H456" s="115">
        <f t="shared" si="37"/>
        <v>0</v>
      </c>
      <c r="I456" s="191" t="s">
        <v>357</v>
      </c>
      <c r="M456" s="192"/>
      <c r="V456" s="182"/>
      <c r="W456" s="182"/>
      <c r="X456" s="182"/>
    </row>
    <row r="457" spans="1:24" ht="12.75">
      <c r="A457" s="113">
        <f t="shared" si="38"/>
        <v>250</v>
      </c>
      <c r="B457" s="232"/>
      <c r="C457" s="138" t="s">
        <v>246</v>
      </c>
      <c r="D457" s="300" t="s">
        <v>666</v>
      </c>
      <c r="E457" s="114" t="s">
        <v>238</v>
      </c>
      <c r="F457" s="163">
        <v>0.17</v>
      </c>
      <c r="G457" s="190"/>
      <c r="H457" s="115">
        <f>F457*G457</f>
        <v>0</v>
      </c>
      <c r="I457" s="191" t="s">
        <v>357</v>
      </c>
      <c r="M457" s="192"/>
      <c r="V457" s="182"/>
      <c r="W457" s="182"/>
      <c r="X457" s="182"/>
    </row>
    <row r="458" spans="1:24" ht="12.75">
      <c r="A458" s="113">
        <f t="shared" si="38"/>
        <v>251</v>
      </c>
      <c r="B458" s="232"/>
      <c r="C458" s="138" t="s">
        <v>246</v>
      </c>
      <c r="D458" s="300" t="s">
        <v>125</v>
      </c>
      <c r="E458" s="114" t="s">
        <v>238</v>
      </c>
      <c r="F458" s="163">
        <v>2</v>
      </c>
      <c r="G458" s="190"/>
      <c r="H458" s="115">
        <f>F458*G458</f>
        <v>0</v>
      </c>
      <c r="I458" s="191" t="s">
        <v>357</v>
      </c>
      <c r="M458" s="192"/>
      <c r="V458" s="182"/>
      <c r="W458" s="182"/>
      <c r="X458" s="182"/>
    </row>
    <row r="459" spans="1:24" ht="12.75">
      <c r="A459" s="113">
        <f t="shared" si="38"/>
        <v>252</v>
      </c>
      <c r="B459" s="232" t="s">
        <v>667</v>
      </c>
      <c r="C459" s="299" t="s">
        <v>147</v>
      </c>
      <c r="D459" s="300" t="s">
        <v>209</v>
      </c>
      <c r="E459" s="114" t="s">
        <v>237</v>
      </c>
      <c r="F459" s="163">
        <v>3</v>
      </c>
      <c r="G459" s="190"/>
      <c r="H459" s="115">
        <f t="shared" si="37"/>
        <v>0</v>
      </c>
      <c r="I459" s="191" t="s">
        <v>357</v>
      </c>
      <c r="V459" s="182"/>
      <c r="W459" s="182"/>
      <c r="X459" s="182"/>
    </row>
    <row r="460" spans="1:24" ht="12.75">
      <c r="A460" s="113">
        <f t="shared" si="38"/>
        <v>253</v>
      </c>
      <c r="B460" s="232"/>
      <c r="C460" s="299" t="s">
        <v>246</v>
      </c>
      <c r="D460" s="300" t="s">
        <v>210</v>
      </c>
      <c r="E460" s="114" t="s">
        <v>237</v>
      </c>
      <c r="F460" s="163">
        <v>3</v>
      </c>
      <c r="G460" s="190"/>
      <c r="H460" s="115">
        <f t="shared" si="37"/>
        <v>0</v>
      </c>
      <c r="I460" s="191" t="s">
        <v>357</v>
      </c>
      <c r="V460" s="182"/>
      <c r="W460" s="182"/>
      <c r="X460" s="182"/>
    </row>
    <row r="461" spans="1:24" ht="16.5">
      <c r="A461" s="113">
        <f t="shared" si="38"/>
        <v>254</v>
      </c>
      <c r="B461" s="232"/>
      <c r="C461" s="299" t="s">
        <v>246</v>
      </c>
      <c r="D461" s="300" t="s">
        <v>213</v>
      </c>
      <c r="E461" s="114" t="s">
        <v>237</v>
      </c>
      <c r="F461" s="163">
        <v>1</v>
      </c>
      <c r="G461" s="190"/>
      <c r="H461" s="115">
        <f t="shared" si="37"/>
        <v>0</v>
      </c>
      <c r="I461" s="191" t="s">
        <v>357</v>
      </c>
      <c r="V461" s="182"/>
      <c r="W461" s="193"/>
      <c r="X461" s="182"/>
    </row>
    <row r="462" spans="1:24" ht="16.5">
      <c r="A462" s="113">
        <f t="shared" si="38"/>
        <v>255</v>
      </c>
      <c r="B462" s="232"/>
      <c r="C462" s="299" t="s">
        <v>246</v>
      </c>
      <c r="D462" s="300" t="s">
        <v>214</v>
      </c>
      <c r="E462" s="114" t="s">
        <v>237</v>
      </c>
      <c r="F462" s="163">
        <v>1</v>
      </c>
      <c r="G462" s="190"/>
      <c r="H462" s="115">
        <f>F462*G462</f>
        <v>0</v>
      </c>
      <c r="I462" s="191" t="s">
        <v>357</v>
      </c>
      <c r="V462" s="182"/>
      <c r="W462" s="193"/>
      <c r="X462" s="182"/>
    </row>
    <row r="463" spans="1:24" ht="38.25">
      <c r="A463" s="113">
        <f>+A461+1</f>
        <v>255</v>
      </c>
      <c r="B463" s="232"/>
      <c r="C463" s="299" t="s">
        <v>246</v>
      </c>
      <c r="D463" s="124" t="s">
        <v>16</v>
      </c>
      <c r="E463" s="114" t="s">
        <v>235</v>
      </c>
      <c r="F463" s="163">
        <f>0.3*(1+0.5)</f>
        <v>0.44999999999999996</v>
      </c>
      <c r="G463" s="190"/>
      <c r="H463" s="115">
        <f t="shared" si="37"/>
        <v>0</v>
      </c>
      <c r="I463" s="191" t="s">
        <v>357</v>
      </c>
      <c r="V463" s="182"/>
      <c r="W463" s="182"/>
      <c r="X463" s="182"/>
    </row>
    <row r="464" spans="1:24" ht="25.5">
      <c r="A464" s="113">
        <f aca="true" t="shared" si="39" ref="A464:A469">+A463+1</f>
        <v>256</v>
      </c>
      <c r="B464" s="232"/>
      <c r="C464" s="299" t="s">
        <v>247</v>
      </c>
      <c r="D464" s="108" t="s">
        <v>668</v>
      </c>
      <c r="E464" s="114" t="s">
        <v>234</v>
      </c>
      <c r="F464" s="163">
        <v>1</v>
      </c>
      <c r="G464" s="190"/>
      <c r="H464" s="115">
        <f t="shared" si="37"/>
        <v>0</v>
      </c>
      <c r="I464" s="191" t="s">
        <v>357</v>
      </c>
      <c r="V464" s="182"/>
      <c r="W464" s="182"/>
      <c r="X464" s="182"/>
    </row>
    <row r="465" spans="1:24" ht="12.75">
      <c r="A465" s="113">
        <f t="shared" si="39"/>
        <v>257</v>
      </c>
      <c r="B465" s="232"/>
      <c r="C465" s="299" t="s">
        <v>247</v>
      </c>
      <c r="D465" s="111" t="s">
        <v>669</v>
      </c>
      <c r="E465" s="114" t="s">
        <v>243</v>
      </c>
      <c r="F465" s="163">
        <f>SUM(H456:H458,H460:H463)</f>
        <v>0</v>
      </c>
      <c r="G465" s="194"/>
      <c r="H465" s="115">
        <f t="shared" si="37"/>
        <v>0</v>
      </c>
      <c r="I465" s="191" t="s">
        <v>357</v>
      </c>
      <c r="V465" s="182"/>
      <c r="W465" s="182"/>
      <c r="X465" s="182"/>
    </row>
    <row r="466" spans="1:24" ht="12.75">
      <c r="A466" s="113">
        <f t="shared" si="39"/>
        <v>258</v>
      </c>
      <c r="B466" s="232"/>
      <c r="C466" s="299" t="s">
        <v>247</v>
      </c>
      <c r="D466" s="300" t="s">
        <v>211</v>
      </c>
      <c r="E466" s="114" t="s">
        <v>234</v>
      </c>
      <c r="F466" s="163">
        <v>1</v>
      </c>
      <c r="G466" s="190"/>
      <c r="H466" s="115">
        <f t="shared" si="37"/>
        <v>0</v>
      </c>
      <c r="I466" s="191" t="s">
        <v>357</v>
      </c>
      <c r="V466" s="182"/>
      <c r="W466" s="182"/>
      <c r="X466" s="182"/>
    </row>
    <row r="467" spans="1:24" ht="12.75">
      <c r="A467" s="113">
        <f t="shared" si="39"/>
        <v>259</v>
      </c>
      <c r="B467" s="232"/>
      <c r="C467" s="299" t="s">
        <v>247</v>
      </c>
      <c r="D467" s="300" t="s">
        <v>212</v>
      </c>
      <c r="E467" s="114" t="s">
        <v>234</v>
      </c>
      <c r="F467" s="163">
        <v>1</v>
      </c>
      <c r="G467" s="190"/>
      <c r="H467" s="115">
        <f>F467*G467</f>
        <v>0</v>
      </c>
      <c r="I467" s="191" t="s">
        <v>357</v>
      </c>
      <c r="V467" s="182"/>
      <c r="W467" s="182"/>
      <c r="X467" s="182"/>
    </row>
    <row r="468" spans="1:24" ht="25.5">
      <c r="A468" s="113">
        <f t="shared" si="39"/>
        <v>260</v>
      </c>
      <c r="B468" s="232"/>
      <c r="C468" s="138"/>
      <c r="D468" s="300" t="s">
        <v>215</v>
      </c>
      <c r="E468" s="114" t="s">
        <v>234</v>
      </c>
      <c r="F468" s="163">
        <v>1</v>
      </c>
      <c r="G468" s="190"/>
      <c r="H468" s="115">
        <f>F468*G468</f>
        <v>0</v>
      </c>
      <c r="I468" s="191" t="s">
        <v>357</v>
      </c>
      <c r="V468" s="182"/>
      <c r="W468" s="182"/>
      <c r="X468" s="182"/>
    </row>
    <row r="469" spans="1:10" ht="13.5" thickBot="1">
      <c r="A469" s="113">
        <f t="shared" si="39"/>
        <v>261</v>
      </c>
      <c r="B469" s="232"/>
      <c r="C469" s="138"/>
      <c r="D469" s="111" t="s">
        <v>262</v>
      </c>
      <c r="E469" s="114" t="s">
        <v>243</v>
      </c>
      <c r="F469" s="163">
        <f>SUM(H452,H454,H456:H463)</f>
        <v>0</v>
      </c>
      <c r="G469" s="213"/>
      <c r="H469" s="141">
        <f>F469*G469</f>
        <v>0</v>
      </c>
      <c r="I469" s="28" t="s">
        <v>357</v>
      </c>
      <c r="J469" s="171"/>
    </row>
    <row r="470" spans="1:8" ht="13.5" thickBot="1">
      <c r="A470" s="113"/>
      <c r="B470" s="232"/>
      <c r="C470" s="138"/>
      <c r="D470" s="125" t="s">
        <v>236</v>
      </c>
      <c r="E470" s="126"/>
      <c r="F470" s="169"/>
      <c r="G470" s="298"/>
      <c r="H470" s="118">
        <f>SUBTOTAL(9,H452:H469)</f>
        <v>0</v>
      </c>
    </row>
    <row r="471" spans="1:9" ht="12.75">
      <c r="A471" s="106"/>
      <c r="B471" s="223"/>
      <c r="C471" s="107"/>
      <c r="D471" s="119"/>
      <c r="E471" s="120"/>
      <c r="F471" s="150"/>
      <c r="G471" s="49"/>
      <c r="H471" s="121"/>
      <c r="I471" s="70"/>
    </row>
    <row r="472" spans="1:9" ht="16.5">
      <c r="A472" s="106"/>
      <c r="B472" s="223"/>
      <c r="C472" s="258">
        <v>4</v>
      </c>
      <c r="D472" s="104" t="s">
        <v>382</v>
      </c>
      <c r="E472" s="104"/>
      <c r="F472" s="104"/>
      <c r="G472" s="104"/>
      <c r="H472" s="104"/>
      <c r="I472" s="70"/>
    </row>
    <row r="473" spans="1:9" ht="54" customHeight="1">
      <c r="A473" s="106"/>
      <c r="B473" s="223"/>
      <c r="C473" s="103"/>
      <c r="D473" s="303" t="s">
        <v>302</v>
      </c>
      <c r="E473" s="303"/>
      <c r="F473" s="303"/>
      <c r="G473" s="186"/>
      <c r="H473" s="186"/>
      <c r="I473" s="70"/>
    </row>
    <row r="474" spans="1:9" ht="12.75">
      <c r="A474" s="106">
        <f>A469+1</f>
        <v>262</v>
      </c>
      <c r="B474" s="223"/>
      <c r="C474" s="107"/>
      <c r="D474" s="108" t="s">
        <v>299</v>
      </c>
      <c r="E474" s="109" t="s">
        <v>304</v>
      </c>
      <c r="F474" s="162">
        <v>1</v>
      </c>
      <c r="G474" s="110">
        <f>ESA_ESI!H44</f>
        <v>0</v>
      </c>
      <c r="H474" s="110">
        <f>F474*G474</f>
        <v>0</v>
      </c>
      <c r="I474" s="70" t="s">
        <v>357</v>
      </c>
    </row>
    <row r="475" spans="1:9" ht="13.5" thickBot="1">
      <c r="A475" s="106">
        <f>A474+1</f>
        <v>263</v>
      </c>
      <c r="B475" s="223"/>
      <c r="C475" s="107"/>
      <c r="D475" s="108" t="s">
        <v>300</v>
      </c>
      <c r="E475" s="109" t="s">
        <v>304</v>
      </c>
      <c r="F475" s="162">
        <v>1</v>
      </c>
      <c r="G475" s="110">
        <f>ESA_ESI!H56</f>
        <v>0</v>
      </c>
      <c r="H475" s="110">
        <f>F475*G475</f>
        <v>0</v>
      </c>
      <c r="I475" s="70" t="s">
        <v>357</v>
      </c>
    </row>
    <row r="476" spans="1:8" ht="13.5" thickBot="1">
      <c r="A476" s="106"/>
      <c r="B476" s="223"/>
      <c r="C476" s="107"/>
      <c r="D476" s="125" t="s">
        <v>236</v>
      </c>
      <c r="E476" s="126"/>
      <c r="F476" s="165"/>
      <c r="G476" s="127"/>
      <c r="H476" s="118">
        <f>SUBTOTAL(9,H474:H475)</f>
        <v>0</v>
      </c>
    </row>
    <row r="477" spans="1:9" ht="12.75">
      <c r="A477" s="106"/>
      <c r="B477" s="223"/>
      <c r="C477" s="107"/>
      <c r="D477" s="119"/>
      <c r="E477" s="120"/>
      <c r="F477" s="150"/>
      <c r="G477" s="49"/>
      <c r="H477" s="121"/>
      <c r="I477" s="70"/>
    </row>
    <row r="478" spans="1:9" ht="16.5">
      <c r="A478" s="106"/>
      <c r="B478" s="223"/>
      <c r="C478" s="258">
        <v>5</v>
      </c>
      <c r="D478" s="104" t="s">
        <v>383</v>
      </c>
      <c r="E478" s="104"/>
      <c r="F478" s="104"/>
      <c r="G478" s="104"/>
      <c r="H478" s="104"/>
      <c r="I478" s="70"/>
    </row>
    <row r="479" spans="1:9" ht="59.25" customHeight="1">
      <c r="A479" s="106"/>
      <c r="B479" s="223"/>
      <c r="C479" s="103"/>
      <c r="D479" s="303" t="s">
        <v>303</v>
      </c>
      <c r="E479" s="303"/>
      <c r="F479" s="303"/>
      <c r="G479" s="186"/>
      <c r="H479" s="186"/>
      <c r="I479" s="70"/>
    </row>
    <row r="480" spans="1:9" ht="12.75">
      <c r="A480" s="106">
        <f>+A475+1</f>
        <v>264</v>
      </c>
      <c r="B480" s="223"/>
      <c r="C480" s="107"/>
      <c r="D480" s="108" t="s">
        <v>346</v>
      </c>
      <c r="E480" s="109" t="s">
        <v>304</v>
      </c>
      <c r="F480" s="162">
        <v>1</v>
      </c>
      <c r="G480" s="110">
        <f>ESA_ESI!H74</f>
        <v>0</v>
      </c>
      <c r="H480" s="110">
        <f>F480*G480</f>
        <v>0</v>
      </c>
      <c r="I480" s="70" t="s">
        <v>357</v>
      </c>
    </row>
    <row r="481" spans="1:9" ht="13.5" thickBot="1">
      <c r="A481" s="106">
        <f>A480+1</f>
        <v>265</v>
      </c>
      <c r="B481" s="223"/>
      <c r="C481" s="107"/>
      <c r="D481" s="108" t="s">
        <v>301</v>
      </c>
      <c r="E481" s="109" t="s">
        <v>304</v>
      </c>
      <c r="F481" s="162">
        <v>1</v>
      </c>
      <c r="G481" s="110">
        <f>ESA_ESI!H81</f>
        <v>0</v>
      </c>
      <c r="H481" s="110">
        <f>F481*G481</f>
        <v>0</v>
      </c>
      <c r="I481" s="70" t="s">
        <v>357</v>
      </c>
    </row>
    <row r="482" spans="1:8" ht="13.5" thickBot="1">
      <c r="A482" s="106"/>
      <c r="B482" s="223"/>
      <c r="C482" s="107"/>
      <c r="D482" s="125" t="s">
        <v>236</v>
      </c>
      <c r="E482" s="126"/>
      <c r="F482" s="165"/>
      <c r="G482" s="127"/>
      <c r="H482" s="118">
        <f>SUBTOTAL(9,H480:H481)</f>
        <v>0</v>
      </c>
    </row>
    <row r="483" spans="1:9" ht="14.25" customHeight="1">
      <c r="A483" s="106"/>
      <c r="B483" s="223"/>
      <c r="C483" s="107"/>
      <c r="D483" s="119"/>
      <c r="E483" s="120"/>
      <c r="F483" s="150"/>
      <c r="G483" s="49"/>
      <c r="H483" s="121"/>
      <c r="I483" s="70"/>
    </row>
    <row r="484" spans="3:8" ht="16.5">
      <c r="C484" s="103">
        <v>6</v>
      </c>
      <c r="D484" s="104" t="s">
        <v>252</v>
      </c>
      <c r="E484" s="104"/>
      <c r="F484" s="104"/>
      <c r="G484" s="104"/>
      <c r="H484" s="104"/>
    </row>
    <row r="485" spans="1:9" ht="12.75">
      <c r="A485" s="106">
        <f>A481+1</f>
        <v>266</v>
      </c>
      <c r="B485" s="223"/>
      <c r="C485" s="107" t="s">
        <v>381</v>
      </c>
      <c r="D485" s="108" t="s">
        <v>297</v>
      </c>
      <c r="E485" s="109" t="s">
        <v>237</v>
      </c>
      <c r="F485" s="162">
        <v>1</v>
      </c>
      <c r="G485" s="190"/>
      <c r="H485" s="110">
        <f>F485*G485</f>
        <v>0</v>
      </c>
      <c r="I485" s="70" t="s">
        <v>363</v>
      </c>
    </row>
    <row r="486" spans="1:9" ht="12.75">
      <c r="A486" s="106">
        <f>A485+1</f>
        <v>267</v>
      </c>
      <c r="B486" s="223"/>
      <c r="C486" s="107"/>
      <c r="D486" s="108" t="s">
        <v>334</v>
      </c>
      <c r="E486" s="109" t="s">
        <v>234</v>
      </c>
      <c r="F486" s="162">
        <v>1</v>
      </c>
      <c r="G486" s="190"/>
      <c r="H486" s="110">
        <f>F486*G486</f>
        <v>0</v>
      </c>
      <c r="I486" s="70" t="s">
        <v>357</v>
      </c>
    </row>
    <row r="487" spans="1:9" ht="13.5" thickBot="1">
      <c r="A487" s="106">
        <f>A486+1</f>
        <v>268</v>
      </c>
      <c r="B487" s="223"/>
      <c r="C487" s="107"/>
      <c r="D487" s="108" t="s">
        <v>292</v>
      </c>
      <c r="E487" s="109" t="s">
        <v>234</v>
      </c>
      <c r="F487" s="162">
        <v>1</v>
      </c>
      <c r="G487" s="190"/>
      <c r="H487" s="110">
        <f>F487*G487</f>
        <v>0</v>
      </c>
      <c r="I487" s="70" t="s">
        <v>357</v>
      </c>
    </row>
    <row r="488" spans="1:9" ht="13.5" thickBot="1">
      <c r="A488" s="106"/>
      <c r="B488" s="223"/>
      <c r="D488" s="125" t="s">
        <v>236</v>
      </c>
      <c r="E488" s="126"/>
      <c r="F488" s="165"/>
      <c r="G488" s="127"/>
      <c r="H488" s="143">
        <f>SUBTOTAL(9,H485:H487)</f>
        <v>0</v>
      </c>
      <c r="I488" s="70"/>
    </row>
    <row r="489" spans="1:9" ht="12.75">
      <c r="A489" s="106"/>
      <c r="B489" s="223"/>
      <c r="D489" s="119"/>
      <c r="E489" s="120"/>
      <c r="F489" s="150"/>
      <c r="G489" s="49"/>
      <c r="H489" s="121"/>
      <c r="I489" s="70"/>
    </row>
  </sheetData>
  <sheetProtection password="C6F8" sheet="1" selectLockedCells="1"/>
  <mergeCells count="33">
    <mergeCell ref="D81:H81"/>
    <mergeCell ref="D78:H78"/>
    <mergeCell ref="D79:H79"/>
    <mergeCell ref="D75:H75"/>
    <mergeCell ref="D76:H76"/>
    <mergeCell ref="D71:H71"/>
    <mergeCell ref="D73:H73"/>
    <mergeCell ref="D64:H64"/>
    <mergeCell ref="D67:H67"/>
    <mergeCell ref="D473:F473"/>
    <mergeCell ref="D319:F319"/>
    <mergeCell ref="D296:F296"/>
    <mergeCell ref="D417:F417"/>
    <mergeCell ref="D443:F443"/>
    <mergeCell ref="D247:F247"/>
    <mergeCell ref="D280:F280"/>
    <mergeCell ref="D69:H69"/>
    <mergeCell ref="D5:H5"/>
    <mergeCell ref="D6:H6"/>
    <mergeCell ref="D62:H62"/>
    <mergeCell ref="D63:H63"/>
    <mergeCell ref="G43:H43"/>
    <mergeCell ref="G32:H32"/>
    <mergeCell ref="D479:F479"/>
    <mergeCell ref="D66:H66"/>
    <mergeCell ref="D65:H65"/>
    <mergeCell ref="D146:F146"/>
    <mergeCell ref="D349:F349"/>
    <mergeCell ref="D368:F368"/>
    <mergeCell ref="D167:F167"/>
    <mergeCell ref="D384:F384"/>
    <mergeCell ref="D68:H68"/>
    <mergeCell ref="D451:F451"/>
  </mergeCells>
  <conditionalFormatting sqref="D61 E69">
    <cfRule type="expression" priority="105" dxfId="3" stopIfTrue="1">
      <formula>ISTEXT(D61)</formula>
    </cfRule>
  </conditionalFormatting>
  <conditionalFormatting sqref="F69:H69">
    <cfRule type="expression" priority="106" dxfId="3" stopIfTrue="1">
      <formula>ISNUMBER(F69)</formula>
    </cfRule>
  </conditionalFormatting>
  <hyperlinks>
    <hyperlink ref="D12" location="Kapitola_2" display="Kapitola_2"/>
    <hyperlink ref="D11" location="Kapitola_1" display="Kapitola_1"/>
    <hyperlink ref="D120:H120" location="Rekapitulace_2" display="Stropní deska v úrovni terénu"/>
    <hyperlink ref="D30" location="Dokoncovaci_prace" display="Dokoncovaci_prace"/>
    <hyperlink ref="D81:H81" location="Rekapitulace_1" display="Bourací a přípravné práce"/>
    <hyperlink ref="D145:H145" location="Rekapitulace_2b" display="Živičné izolace"/>
    <hyperlink ref="D166:H166" location="Rekapitulace_2c" display="Povlakové izolace proti vodě"/>
    <hyperlink ref="D348:H348" location="Rekapitulace_2d" display="Izolace tepelné"/>
    <hyperlink ref="D367:H367" location="Rekapitulace_2e" display="Kanalizace"/>
    <hyperlink ref="D383:H383" location="Rekapitulace_2f" display="Konstrukce klempířské"/>
    <hyperlink ref="D14" location="Kapitola_2b" display="Kapitola_2b"/>
    <hyperlink ref="D15" location="Kapitola_2c" display="Kapitola_2c"/>
    <hyperlink ref="D22" location="Kapitola_2d" display="Kapitola_2d"/>
    <hyperlink ref="D23" location="Kapitola_2e" display="Kapitola_2e"/>
    <hyperlink ref="D24" location="Kapitola_2f" display="Kapitola_2f"/>
    <hyperlink ref="D28" location="Kapitola_2g" display="Kapitola_2g"/>
    <hyperlink ref="D472:H472" location="Rekapitulace_2g" display="Elektroinstalace - silnoproud"/>
    <hyperlink ref="D416:H416" location="Rekapitulace_2i" display="Vzduchotechnika"/>
    <hyperlink ref="D478:H478" location="Rekapitulace_2h" display="Elektroinstalace - slaboproud"/>
    <hyperlink ref="D246:H246" location="Rekapitulace_2j" display="Konstrukce truhlářské"/>
    <hyperlink ref="D279:H279" location="Rekapitulace_2k" display="Konstrukce zámečnické"/>
    <hyperlink ref="D295:H295" location="Rekapitulace_2l" display="Podlahy z dlaždic"/>
    <hyperlink ref="D318:H318" location="Rekapitulace_2m" display="Podlahy povlakové"/>
    <hyperlink ref="D29" location="Kapitola_2h" display="Kapitola_2h"/>
    <hyperlink ref="D25" location="Kapitola_2i" display="Kapitola_2i"/>
    <hyperlink ref="D16" location="Kapitola_2j" display="Kapitola_2j"/>
    <hyperlink ref="D17" location="Kapitola_2k" display="Kapitola_2k"/>
    <hyperlink ref="D18" location="Kapitola_2l" display="Kapitola_2l"/>
    <hyperlink ref="D19" location="Kapitola_2m" display="Kapitola_2m"/>
    <hyperlink ref="D484:H484" location="Rekapitulace_Dokončovací_práce" display="Dokončovací práce"/>
    <hyperlink ref="D442:H442" location="Rekapitulace_2h" display="Elektroinstalace - slaboproud"/>
    <hyperlink ref="D450:H450" location="Rekapitulace_2h" display="Elektroinstalace - slaboproud"/>
    <hyperlink ref="D331:H331" location="Rekapitulace_2d" display="Izolace tepelné"/>
    <hyperlink ref="K232" r:id="rId1" display="https://www.siko.cz/lista-ukoncovaci-l-hlinik-10-mm-250-cm-al10250/p/AL10250?gclid=EAIaIQobChMIsYDCpJ7F6QIVie3tCh0zFQanEAAYAyAAEgKzu_D_BwE"/>
    <hyperlink ref="K231" r:id="rId2" display="https://www.siko.cz/lista-ukoncovaci-l-kartacovana-nerez-10-mm-250-cm-nrzk10250/p/NRZK10250"/>
    <hyperlink ref="K259" r:id="rId3" display="https://www.truhlarstvipohan.cz/dvere-silvie/"/>
    <hyperlink ref="K267" r:id="rId4" display="https://www.styltex.cz/produkt/pevna-sit-proti-hmyzu-64/#configurator"/>
    <hyperlink ref="K275" r:id="rId5" display="https://www.svet-koupelny.cz/keramia-fresh/zoja-keramia-fresh-galerka-s-halogenovym-osvetlenim-60x60x14cm-dub-platin-lev-45027/aqualine/"/>
    <hyperlink ref="K273" r:id="rId6" display="https://www.datart.cz/Vestavna-trouba-MORA-VT-433-BW.html?gclid=EAIaIQobChMIpMnpia_H6QIVGofVCh2towCrEAAYASAAEgKGBfD_BwE"/>
    <hyperlink ref="K272" r:id="rId7" display="https://www.mall.cz/plynove-varne-desky/concept-pdv7460bc?gclid=EAIaIQobChMI0evMsq_H6QIVgYxRCh0KAAVIEAAYASAAEgLB8fD_BwE"/>
    <hyperlink ref="K274" r:id="rId8" display="https://www.elektrocz.com/p272214-faber-maxima-touch-ev8-x-a60/"/>
    <hyperlink ref="K291" r:id="rId9" display="https://online.ferona.cz/detail/42333/profil-nerovnoramenny-l-z-konstrukcni-oceli-valcovane-za-tepla-din-1029-l-100x75x7"/>
    <hyperlink ref="K290" r:id="rId10" display="https://online.ferona.cz/detail/22304/profil-rovnoramenny-l-z-konstrukcni-oceli-valcovane-za-tepla-en-10056-l-50x50x4"/>
    <hyperlink ref="K327" r:id="rId11" display="https://www.floorwood.cz/prechodova-lista-sroubovaci-obla-stribrna-e01/"/>
    <hyperlink ref="K360" r:id="rId12" display="https://www.koupelny-venta.cz/alcaplast-sifon-pro-odkapavajici-kondenzat-podomitkovy-nerez-dn40-a-dn50-aks7/53886/produkt"/>
    <hyperlink ref="K361" r:id="rId13" display="https://ok-levne.cz/hl138-podomitkovy-sifon-ke-klimatizacnim-jednotkam-dn32-100x100mm.html"/>
    <hyperlink ref="K386" r:id="rId14" display="https://www.siko.cz/umyvadlo-jika-lyra-plus-60x49-cm-otvor-pro-baterii-uprostred-h8143830001041/p/1438.3.000.104.1"/>
    <hyperlink ref="K387" r:id="rId15" display="https://www.siko.cz/umyvatko-jika-lyra-plus-45x37-cm-otvor-pro-baterii-uprostred-h8153820001041/p/1538.2.000.104.1"/>
    <hyperlink ref="K395" r:id="rId16" display="https://www.siko.cz/sprchova-vanicka-ctvercova-ravak-chrome-90x90-cm-lity-mramor-xa047701010/p/PER90PROCHROM0"/>
    <hyperlink ref="K397" r:id="rId17" display="https://www.ravak.cz/cz/sprchove-dvere-brilliant-bsd2~1"/>
    <hyperlink ref="K419" r:id="rId18" display="https://www.multivac.cz/media/cache/file/a4/Cenik-2020-CZ-22_05.pdf"/>
    <hyperlink ref="K418" r:id="rId19" display="https://www.multivac.cz/media/cache/file/a5/05_multi-plast.pdf"/>
  </hyperlinks>
  <printOptions horizontalCentered="1"/>
  <pageMargins left="0.3937007874015748" right="0.3937007874015748" top="0.3937007874015748" bottom="0.4724409448818898" header="0.5118110236220472" footer="0.3937007874015748"/>
  <pageSetup horizontalDpi="300" verticalDpi="300" orientation="portrait" paperSize="9" scale="80" r:id="rId20"/>
  <headerFooter alignWithMargins="0">
    <oddFooter>&amp;CStránka &amp;P z &amp;N</oddFooter>
  </headerFooter>
</worksheet>
</file>

<file path=xl/worksheets/sheet2.xml><?xml version="1.0" encoding="utf-8"?>
<worksheet xmlns="http://schemas.openxmlformats.org/spreadsheetml/2006/main" xmlns:r="http://schemas.openxmlformats.org/officeDocument/2006/relationships">
  <dimension ref="A1:M97"/>
  <sheetViews>
    <sheetView zoomScalePageLayoutView="0" workbookViewId="0" topLeftCell="A1">
      <selection activeCell="C29" sqref="C29"/>
    </sheetView>
  </sheetViews>
  <sheetFormatPr defaultColWidth="9.00390625" defaultRowHeight="12.75"/>
  <cols>
    <col min="1" max="1" width="4.75390625" style="278" customWidth="1"/>
    <col min="2" max="2" width="11.875" style="278" customWidth="1"/>
    <col min="3" max="3" width="44.125" style="76" customWidth="1"/>
    <col min="4" max="4" width="4.625" style="76" customWidth="1"/>
    <col min="5" max="5" width="5.625" style="76" customWidth="1"/>
    <col min="6" max="7" width="8.125" style="76" bestFit="1" customWidth="1"/>
    <col min="8" max="8" width="10.125" style="76" bestFit="1" customWidth="1"/>
    <col min="9" max="9" width="1.25" style="76" customWidth="1"/>
    <col min="10" max="10" width="0" style="76" hidden="1" customWidth="1"/>
    <col min="11" max="11" width="18.125" style="284" customWidth="1"/>
    <col min="12" max="12" width="10.375" style="0" customWidth="1"/>
  </cols>
  <sheetData>
    <row r="1" spans="1:11" s="14" customFormat="1" ht="21" customHeight="1">
      <c r="A1" s="259"/>
      <c r="B1" s="321"/>
      <c r="C1" s="322"/>
      <c r="D1" s="322"/>
      <c r="E1" s="322"/>
      <c r="F1" s="322"/>
      <c r="G1" s="322"/>
      <c r="H1" s="322"/>
      <c r="I1" s="322"/>
      <c r="J1" s="322"/>
      <c r="K1" s="280"/>
    </row>
    <row r="2" spans="1:11" s="14" customFormat="1" ht="24" customHeight="1">
      <c r="A2" s="260"/>
      <c r="B2" s="260"/>
      <c r="C2" s="257" t="s">
        <v>307</v>
      </c>
      <c r="D2" s="144"/>
      <c r="E2" s="144"/>
      <c r="F2" s="144"/>
      <c r="G2" s="144"/>
      <c r="H2" s="144"/>
      <c r="I2" s="144"/>
      <c r="J2" s="144"/>
      <c r="K2" s="280"/>
    </row>
    <row r="3" spans="1:11" s="14" customFormat="1" ht="16.5" customHeight="1">
      <c r="A3" s="260"/>
      <c r="B3" s="260"/>
      <c r="C3" s="261" t="s">
        <v>308</v>
      </c>
      <c r="D3" s="144"/>
      <c r="E3" s="144"/>
      <c r="F3" s="144"/>
      <c r="G3" s="144"/>
      <c r="H3" s="262">
        <f>SUM(H44,H56)</f>
        <v>0</v>
      </c>
      <c r="I3" s="144"/>
      <c r="J3" s="144"/>
      <c r="K3" s="280"/>
    </row>
    <row r="4" spans="1:11" s="247" customFormat="1" ht="12.75">
      <c r="A4" s="248"/>
      <c r="B4" s="248" t="s">
        <v>309</v>
      </c>
      <c r="C4" s="263" t="s">
        <v>310</v>
      </c>
      <c r="D4" s="249"/>
      <c r="E4" s="248" t="s">
        <v>240</v>
      </c>
      <c r="F4" s="248" t="s">
        <v>311</v>
      </c>
      <c r="G4" s="248" t="s">
        <v>312</v>
      </c>
      <c r="H4" s="248" t="s">
        <v>241</v>
      </c>
      <c r="I4" s="248"/>
      <c r="J4" s="249"/>
      <c r="K4" s="281" t="s">
        <v>711</v>
      </c>
    </row>
    <row r="5" spans="1:11" s="247" customFormat="1" ht="13.5" customHeight="1">
      <c r="A5" s="248">
        <v>1</v>
      </c>
      <c r="B5" s="248">
        <v>210201064</v>
      </c>
      <c r="C5" s="249" t="s">
        <v>670</v>
      </c>
      <c r="D5" s="249" t="s">
        <v>237</v>
      </c>
      <c r="E5" s="249">
        <v>1</v>
      </c>
      <c r="F5" s="279"/>
      <c r="G5" s="279"/>
      <c r="H5" s="250">
        <f>(F5+G5)*E5</f>
        <v>0</v>
      </c>
      <c r="I5" s="250"/>
      <c r="J5" s="249"/>
      <c r="K5" s="282"/>
    </row>
    <row r="6" spans="1:11" s="247" customFormat="1" ht="13.5" customHeight="1">
      <c r="A6" s="248">
        <f aca="true" t="shared" si="0" ref="A6:A43">A5+1</f>
        <v>2</v>
      </c>
      <c r="B6" s="248">
        <v>210201064</v>
      </c>
      <c r="C6" s="249" t="s">
        <v>313</v>
      </c>
      <c r="D6" s="249" t="s">
        <v>237</v>
      </c>
      <c r="E6" s="249">
        <v>8</v>
      </c>
      <c r="F6" s="279"/>
      <c r="G6" s="279"/>
      <c r="H6" s="250">
        <f aca="true" t="shared" si="1" ref="H6:H43">(F6+G6)*E6</f>
        <v>0</v>
      </c>
      <c r="I6" s="250"/>
      <c r="J6" s="249"/>
      <c r="K6" s="282"/>
    </row>
    <row r="7" spans="1:11" s="247" customFormat="1" ht="25.5">
      <c r="A7" s="248">
        <f t="shared" si="0"/>
        <v>3</v>
      </c>
      <c r="B7" s="248">
        <v>210201064</v>
      </c>
      <c r="C7" s="264" t="s">
        <v>707</v>
      </c>
      <c r="D7" s="249" t="s">
        <v>237</v>
      </c>
      <c r="E7" s="249">
        <v>1</v>
      </c>
      <c r="F7" s="249"/>
      <c r="G7" s="249"/>
      <c r="H7" s="249"/>
      <c r="I7" s="250"/>
      <c r="J7" s="249"/>
      <c r="K7" s="282"/>
    </row>
    <row r="8" spans="1:11" s="247" customFormat="1" ht="13.5" customHeight="1">
      <c r="A8" s="248">
        <f t="shared" si="0"/>
        <v>4</v>
      </c>
      <c r="B8" s="248">
        <v>210111011</v>
      </c>
      <c r="C8" s="249" t="s">
        <v>315</v>
      </c>
      <c r="D8" s="249" t="s">
        <v>237</v>
      </c>
      <c r="E8" s="249">
        <v>22</v>
      </c>
      <c r="F8" s="279"/>
      <c r="G8" s="279"/>
      <c r="H8" s="250">
        <f t="shared" si="1"/>
        <v>0</v>
      </c>
      <c r="I8" s="250"/>
      <c r="J8" s="249"/>
      <c r="K8" s="282"/>
    </row>
    <row r="9" spans="1:11" s="247" customFormat="1" ht="13.5" customHeight="1">
      <c r="A9" s="248">
        <f t="shared" si="0"/>
        <v>5</v>
      </c>
      <c r="B9" s="248">
        <v>210111011</v>
      </c>
      <c r="C9" s="249" t="s">
        <v>316</v>
      </c>
      <c r="D9" s="249" t="s">
        <v>237</v>
      </c>
      <c r="E9" s="249">
        <v>1</v>
      </c>
      <c r="F9" s="279"/>
      <c r="G9" s="279"/>
      <c r="H9" s="250">
        <f t="shared" si="1"/>
        <v>0</v>
      </c>
      <c r="I9" s="250"/>
      <c r="J9" s="249"/>
      <c r="K9" s="282"/>
    </row>
    <row r="10" spans="1:11" s="247" customFormat="1" ht="13.5" customHeight="1">
      <c r="A10" s="248">
        <f t="shared" si="0"/>
        <v>6</v>
      </c>
      <c r="B10" s="248">
        <v>210110001</v>
      </c>
      <c r="C10" s="249" t="s">
        <v>317</v>
      </c>
      <c r="D10" s="249" t="s">
        <v>237</v>
      </c>
      <c r="E10" s="249">
        <v>6</v>
      </c>
      <c r="F10" s="279"/>
      <c r="G10" s="279"/>
      <c r="H10" s="250">
        <f t="shared" si="1"/>
        <v>0</v>
      </c>
      <c r="I10" s="250"/>
      <c r="J10" s="249"/>
      <c r="K10" s="282"/>
    </row>
    <row r="11" spans="1:11" s="247" customFormat="1" ht="13.5" customHeight="1">
      <c r="A11" s="248">
        <f t="shared" si="0"/>
        <v>7</v>
      </c>
      <c r="B11" s="248">
        <v>210110054</v>
      </c>
      <c r="C11" s="249" t="s">
        <v>671</v>
      </c>
      <c r="D11" s="249" t="s">
        <v>237</v>
      </c>
      <c r="E11" s="249">
        <v>2</v>
      </c>
      <c r="F11" s="279"/>
      <c r="G11" s="279"/>
      <c r="H11" s="250">
        <f t="shared" si="1"/>
        <v>0</v>
      </c>
      <c r="I11" s="250"/>
      <c r="J11" s="249"/>
      <c r="K11" s="282"/>
    </row>
    <row r="12" spans="1:11" s="247" customFormat="1" ht="13.5" customHeight="1">
      <c r="A12" s="248">
        <f t="shared" si="0"/>
        <v>8</v>
      </c>
      <c r="B12" s="248">
        <v>210110045</v>
      </c>
      <c r="C12" s="249" t="s">
        <v>672</v>
      </c>
      <c r="D12" s="249" t="s">
        <v>237</v>
      </c>
      <c r="E12" s="249">
        <v>2</v>
      </c>
      <c r="F12" s="279"/>
      <c r="G12" s="279"/>
      <c r="H12" s="250">
        <f>(F12+G12)*E12</f>
        <v>0</v>
      </c>
      <c r="I12" s="250"/>
      <c r="J12" s="249">
        <f aca="true" t="shared" si="2" ref="J12:J32">E12*F12</f>
        <v>0</v>
      </c>
      <c r="K12" s="282"/>
    </row>
    <row r="13" spans="1:11" s="247" customFormat="1" ht="13.5" customHeight="1">
      <c r="A13" s="248">
        <f t="shared" si="0"/>
        <v>9</v>
      </c>
      <c r="B13" s="248">
        <v>210150171</v>
      </c>
      <c r="C13" s="249" t="s">
        <v>673</v>
      </c>
      <c r="D13" s="249" t="s">
        <v>237</v>
      </c>
      <c r="E13" s="249">
        <v>1</v>
      </c>
      <c r="F13" s="279"/>
      <c r="G13" s="279"/>
      <c r="H13" s="250">
        <f>(F13+G13)*E13</f>
        <v>0</v>
      </c>
      <c r="I13" s="250"/>
      <c r="J13" s="249">
        <f t="shared" si="2"/>
        <v>0</v>
      </c>
      <c r="K13" s="282"/>
    </row>
    <row r="14" spans="1:11" s="247" customFormat="1" ht="13.5" customHeight="1">
      <c r="A14" s="248">
        <f t="shared" si="0"/>
        <v>10</v>
      </c>
      <c r="B14" s="248" t="s">
        <v>314</v>
      </c>
      <c r="C14" s="249" t="s">
        <v>674</v>
      </c>
      <c r="D14" s="249" t="s">
        <v>237</v>
      </c>
      <c r="E14" s="249">
        <v>1</v>
      </c>
      <c r="F14" s="279"/>
      <c r="G14" s="279"/>
      <c r="H14" s="250">
        <f>(F14+G14)*E14</f>
        <v>0</v>
      </c>
      <c r="I14" s="250"/>
      <c r="J14" s="249">
        <f t="shared" si="2"/>
        <v>0</v>
      </c>
      <c r="K14" s="282"/>
    </row>
    <row r="15" spans="1:13" s="247" customFormat="1" ht="13.5" customHeight="1">
      <c r="A15" s="248">
        <f t="shared" si="0"/>
        <v>11</v>
      </c>
      <c r="B15" s="248" t="s">
        <v>314</v>
      </c>
      <c r="C15" s="249" t="s">
        <v>675</v>
      </c>
      <c r="D15" s="249" t="s">
        <v>237</v>
      </c>
      <c r="E15" s="249">
        <v>1</v>
      </c>
      <c r="F15" s="279"/>
      <c r="G15" s="279"/>
      <c r="H15" s="250">
        <f>(F15+G15)*E15</f>
        <v>0</v>
      </c>
      <c r="I15" s="250"/>
      <c r="J15" s="249">
        <f t="shared" si="2"/>
        <v>0</v>
      </c>
      <c r="K15" s="282"/>
      <c r="M15" s="251"/>
    </row>
    <row r="16" spans="1:11" s="247" customFormat="1" ht="13.5" customHeight="1">
      <c r="A16" s="248">
        <f t="shared" si="0"/>
        <v>12</v>
      </c>
      <c r="B16" s="248" t="s">
        <v>314</v>
      </c>
      <c r="C16" s="249" t="s">
        <v>318</v>
      </c>
      <c r="D16" s="249" t="s">
        <v>237</v>
      </c>
      <c r="E16" s="249">
        <v>20</v>
      </c>
      <c r="F16" s="279"/>
      <c r="G16" s="279"/>
      <c r="H16" s="250">
        <f t="shared" si="1"/>
        <v>0</v>
      </c>
      <c r="I16" s="250"/>
      <c r="J16" s="249">
        <f t="shared" si="2"/>
        <v>0</v>
      </c>
      <c r="K16" s="282"/>
    </row>
    <row r="17" spans="1:11" s="247" customFormat="1" ht="13.5" customHeight="1">
      <c r="A17" s="248">
        <f t="shared" si="0"/>
        <v>13</v>
      </c>
      <c r="B17" s="248" t="s">
        <v>314</v>
      </c>
      <c r="C17" s="265" t="s">
        <v>319</v>
      </c>
      <c r="D17" s="265" t="s">
        <v>237</v>
      </c>
      <c r="E17" s="265">
        <v>5</v>
      </c>
      <c r="F17" s="279"/>
      <c r="G17" s="279"/>
      <c r="H17" s="250">
        <f t="shared" si="1"/>
        <v>0</v>
      </c>
      <c r="I17" s="250"/>
      <c r="J17" s="249">
        <f t="shared" si="2"/>
        <v>0</v>
      </c>
      <c r="K17" s="282"/>
    </row>
    <row r="18" spans="1:11" s="247" customFormat="1" ht="13.5" customHeight="1">
      <c r="A18" s="248">
        <f t="shared" si="0"/>
        <v>14</v>
      </c>
      <c r="B18" s="248" t="s">
        <v>314</v>
      </c>
      <c r="C18" s="22" t="s">
        <v>676</v>
      </c>
      <c r="D18" s="249" t="s">
        <v>237</v>
      </c>
      <c r="E18" s="266">
        <v>2</v>
      </c>
      <c r="F18" s="279"/>
      <c r="G18" s="279"/>
      <c r="H18" s="250">
        <f t="shared" si="1"/>
        <v>0</v>
      </c>
      <c r="I18" s="250"/>
      <c r="J18" s="249">
        <f t="shared" si="2"/>
        <v>0</v>
      </c>
      <c r="K18" s="282"/>
    </row>
    <row r="19" spans="1:11" s="247" customFormat="1" ht="13.5" customHeight="1">
      <c r="A19" s="248">
        <f t="shared" si="0"/>
        <v>15</v>
      </c>
      <c r="B19" s="248">
        <v>210220321</v>
      </c>
      <c r="C19" s="249" t="s">
        <v>385</v>
      </c>
      <c r="D19" s="249" t="s">
        <v>237</v>
      </c>
      <c r="E19" s="249">
        <v>2</v>
      </c>
      <c r="F19" s="279"/>
      <c r="G19" s="279"/>
      <c r="H19" s="250">
        <f t="shared" si="1"/>
        <v>0</v>
      </c>
      <c r="I19" s="250"/>
      <c r="J19" s="249">
        <f t="shared" si="2"/>
        <v>0</v>
      </c>
      <c r="K19" s="282"/>
    </row>
    <row r="20" spans="1:11" s="247" customFormat="1" ht="13.5" customHeight="1">
      <c r="A20" s="248">
        <f t="shared" si="0"/>
        <v>16</v>
      </c>
      <c r="B20" s="248">
        <v>210010301</v>
      </c>
      <c r="C20" s="249" t="s">
        <v>320</v>
      </c>
      <c r="D20" s="249" t="s">
        <v>237</v>
      </c>
      <c r="E20" s="249">
        <v>34</v>
      </c>
      <c r="F20" s="279"/>
      <c r="G20" s="279"/>
      <c r="H20" s="250">
        <f t="shared" si="1"/>
        <v>0</v>
      </c>
      <c r="I20" s="250"/>
      <c r="J20" s="249">
        <f t="shared" si="2"/>
        <v>0</v>
      </c>
      <c r="K20" s="282"/>
    </row>
    <row r="21" spans="1:11" s="247" customFormat="1" ht="13.5" customHeight="1">
      <c r="A21" s="248">
        <f t="shared" si="0"/>
        <v>17</v>
      </c>
      <c r="B21" s="248">
        <v>210010321</v>
      </c>
      <c r="C21" s="249" t="s">
        <v>386</v>
      </c>
      <c r="D21" s="249" t="s">
        <v>237</v>
      </c>
      <c r="E21" s="249">
        <v>8</v>
      </c>
      <c r="F21" s="279"/>
      <c r="G21" s="279"/>
      <c r="H21" s="250">
        <f t="shared" si="1"/>
        <v>0</v>
      </c>
      <c r="I21" s="250"/>
      <c r="J21" s="249">
        <f t="shared" si="2"/>
        <v>0</v>
      </c>
      <c r="K21" s="282"/>
    </row>
    <row r="22" spans="1:11" s="247" customFormat="1" ht="13.5" customHeight="1">
      <c r="A22" s="248">
        <f t="shared" si="0"/>
        <v>18</v>
      </c>
      <c r="B22" s="248">
        <v>211010011</v>
      </c>
      <c r="C22" s="249" t="s">
        <v>321</v>
      </c>
      <c r="D22" s="249" t="s">
        <v>237</v>
      </c>
      <c r="E22" s="249">
        <v>30</v>
      </c>
      <c r="F22" s="279"/>
      <c r="G22" s="279"/>
      <c r="H22" s="250">
        <f t="shared" si="1"/>
        <v>0</v>
      </c>
      <c r="I22" s="250"/>
      <c r="J22" s="249">
        <f t="shared" si="2"/>
        <v>0</v>
      </c>
      <c r="K22" s="282"/>
    </row>
    <row r="23" spans="1:11" s="247" customFormat="1" ht="12.75" customHeight="1">
      <c r="A23" s="248">
        <f t="shared" si="0"/>
        <v>19</v>
      </c>
      <c r="B23" s="248">
        <v>210800024</v>
      </c>
      <c r="C23" s="249" t="s">
        <v>677</v>
      </c>
      <c r="D23" s="249" t="s">
        <v>238</v>
      </c>
      <c r="E23" s="249">
        <v>240</v>
      </c>
      <c r="F23" s="279"/>
      <c r="G23" s="279"/>
      <c r="H23" s="250">
        <f t="shared" si="1"/>
        <v>0</v>
      </c>
      <c r="I23" s="250"/>
      <c r="J23" s="249">
        <f t="shared" si="2"/>
        <v>0</v>
      </c>
      <c r="K23" s="283"/>
    </row>
    <row r="24" spans="1:11" s="247" customFormat="1" ht="12.75" customHeight="1">
      <c r="A24" s="248">
        <f t="shared" si="0"/>
        <v>20</v>
      </c>
      <c r="B24" s="248">
        <v>210800022</v>
      </c>
      <c r="C24" s="249" t="s">
        <v>678</v>
      </c>
      <c r="D24" s="249" t="s">
        <v>238</v>
      </c>
      <c r="E24" s="249">
        <v>20</v>
      </c>
      <c r="F24" s="279"/>
      <c r="G24" s="279"/>
      <c r="H24" s="250">
        <f t="shared" si="1"/>
        <v>0</v>
      </c>
      <c r="I24" s="250"/>
      <c r="J24" s="249">
        <f t="shared" si="2"/>
        <v>0</v>
      </c>
      <c r="K24" s="283"/>
    </row>
    <row r="25" spans="1:11" s="247" customFormat="1" ht="12.75" customHeight="1">
      <c r="A25" s="248">
        <f t="shared" si="0"/>
        <v>21</v>
      </c>
      <c r="B25" s="248">
        <v>210800023</v>
      </c>
      <c r="C25" s="249" t="s">
        <v>679</v>
      </c>
      <c r="D25" s="249" t="s">
        <v>238</v>
      </c>
      <c r="E25" s="249">
        <v>30</v>
      </c>
      <c r="F25" s="279"/>
      <c r="G25" s="279"/>
      <c r="H25" s="250">
        <f t="shared" si="1"/>
        <v>0</v>
      </c>
      <c r="I25" s="250"/>
      <c r="J25" s="249">
        <f t="shared" si="2"/>
        <v>0</v>
      </c>
      <c r="K25" s="282"/>
    </row>
    <row r="26" spans="1:11" s="247" customFormat="1" ht="12.75" customHeight="1">
      <c r="A26" s="248">
        <f t="shared" si="0"/>
        <v>22</v>
      </c>
      <c r="B26" s="248">
        <v>210800023</v>
      </c>
      <c r="C26" s="249" t="s">
        <v>680</v>
      </c>
      <c r="D26" s="249" t="s">
        <v>238</v>
      </c>
      <c r="E26" s="249">
        <v>110</v>
      </c>
      <c r="F26" s="279"/>
      <c r="G26" s="279"/>
      <c r="H26" s="250">
        <f t="shared" si="1"/>
        <v>0</v>
      </c>
      <c r="I26" s="250"/>
      <c r="J26" s="249">
        <f t="shared" si="2"/>
        <v>0</v>
      </c>
      <c r="K26" s="282"/>
    </row>
    <row r="27" spans="1:11" s="247" customFormat="1" ht="12.75" customHeight="1">
      <c r="A27" s="248">
        <f t="shared" si="0"/>
        <v>23</v>
      </c>
      <c r="B27" s="248">
        <v>210810115</v>
      </c>
      <c r="C27" s="249" t="s">
        <v>681</v>
      </c>
      <c r="D27" s="249" t="s">
        <v>238</v>
      </c>
      <c r="E27" s="249">
        <v>20</v>
      </c>
      <c r="F27" s="279"/>
      <c r="G27" s="279"/>
      <c r="H27" s="250">
        <f t="shared" si="1"/>
        <v>0</v>
      </c>
      <c r="I27" s="250"/>
      <c r="J27" s="249">
        <f t="shared" si="2"/>
        <v>0</v>
      </c>
      <c r="K27" s="282"/>
    </row>
    <row r="28" spans="1:11" s="247" customFormat="1" ht="12.75" customHeight="1">
      <c r="A28" s="248">
        <f t="shared" si="0"/>
        <v>24</v>
      </c>
      <c r="B28" s="248">
        <v>210800506</v>
      </c>
      <c r="C28" s="249" t="s">
        <v>322</v>
      </c>
      <c r="D28" s="249" t="s">
        <v>238</v>
      </c>
      <c r="E28" s="249">
        <v>10</v>
      </c>
      <c r="F28" s="279"/>
      <c r="G28" s="279"/>
      <c r="H28" s="250">
        <f t="shared" si="1"/>
        <v>0</v>
      </c>
      <c r="I28" s="250"/>
      <c r="J28" s="249">
        <f t="shared" si="2"/>
        <v>0</v>
      </c>
      <c r="K28" s="282"/>
    </row>
    <row r="29" spans="1:11" s="247" customFormat="1" ht="12.75" customHeight="1">
      <c r="A29" s="248">
        <f t="shared" si="0"/>
        <v>25</v>
      </c>
      <c r="B29" s="248">
        <v>210190001</v>
      </c>
      <c r="C29" s="249" t="s">
        <v>323</v>
      </c>
      <c r="D29" s="249" t="s">
        <v>237</v>
      </c>
      <c r="E29" s="249">
        <v>1</v>
      </c>
      <c r="F29" s="250"/>
      <c r="G29" s="279"/>
      <c r="H29" s="250">
        <f t="shared" si="1"/>
        <v>0</v>
      </c>
      <c r="I29" s="250"/>
      <c r="J29" s="249">
        <f t="shared" si="2"/>
        <v>0</v>
      </c>
      <c r="K29" s="282"/>
    </row>
    <row r="30" spans="1:11" s="247" customFormat="1" ht="51">
      <c r="A30" s="248">
        <f t="shared" si="0"/>
        <v>26</v>
      </c>
      <c r="B30" s="248">
        <v>210110081</v>
      </c>
      <c r="C30" s="264" t="s">
        <v>708</v>
      </c>
      <c r="D30" s="249" t="s">
        <v>237</v>
      </c>
      <c r="E30" s="249">
        <v>1</v>
      </c>
      <c r="F30" s="279"/>
      <c r="G30" s="279"/>
      <c r="H30" s="250">
        <f t="shared" si="1"/>
        <v>0</v>
      </c>
      <c r="I30" s="250"/>
      <c r="J30" s="249"/>
      <c r="K30" s="282"/>
    </row>
    <row r="31" spans="1:11" s="247" customFormat="1" ht="12.75" customHeight="1">
      <c r="A31" s="248">
        <f t="shared" si="0"/>
        <v>27</v>
      </c>
      <c r="B31" s="248">
        <v>210292041</v>
      </c>
      <c r="C31" s="249" t="s">
        <v>324</v>
      </c>
      <c r="D31" s="249" t="s">
        <v>237</v>
      </c>
      <c r="E31" s="249">
        <v>40</v>
      </c>
      <c r="F31" s="250"/>
      <c r="G31" s="279"/>
      <c r="H31" s="250">
        <f t="shared" si="1"/>
        <v>0</v>
      </c>
      <c r="I31" s="250"/>
      <c r="J31" s="249"/>
      <c r="K31" s="282"/>
    </row>
    <row r="32" spans="1:11" s="247" customFormat="1" ht="12.75" customHeight="1">
      <c r="A32" s="248">
        <f t="shared" si="0"/>
        <v>28</v>
      </c>
      <c r="B32" s="248">
        <v>210100001</v>
      </c>
      <c r="C32" s="249" t="s">
        <v>387</v>
      </c>
      <c r="D32" s="249" t="s">
        <v>237</v>
      </c>
      <c r="E32" s="249">
        <v>40</v>
      </c>
      <c r="F32" s="250"/>
      <c r="G32" s="279"/>
      <c r="H32" s="250">
        <f t="shared" si="1"/>
        <v>0</v>
      </c>
      <c r="I32" s="250"/>
      <c r="J32" s="249">
        <f t="shared" si="2"/>
        <v>0</v>
      </c>
      <c r="K32" s="282"/>
    </row>
    <row r="33" spans="1:11" s="247" customFormat="1" ht="12.75" customHeight="1">
      <c r="A33" s="248">
        <f t="shared" si="0"/>
        <v>29</v>
      </c>
      <c r="B33" s="248">
        <v>210100281</v>
      </c>
      <c r="C33" s="249" t="s">
        <v>682</v>
      </c>
      <c r="D33" s="249" t="s">
        <v>237</v>
      </c>
      <c r="E33" s="249">
        <v>1</v>
      </c>
      <c r="F33" s="250"/>
      <c r="G33" s="279"/>
      <c r="H33" s="250">
        <f t="shared" si="1"/>
        <v>0</v>
      </c>
      <c r="I33" s="252"/>
      <c r="J33" s="249">
        <f>SUM(J5:J32)</f>
        <v>0</v>
      </c>
      <c r="K33" s="282"/>
    </row>
    <row r="34" spans="1:11" s="247" customFormat="1" ht="12.75" customHeight="1">
      <c r="A34" s="248">
        <f t="shared" si="0"/>
        <v>30</v>
      </c>
      <c r="B34" s="248">
        <v>974051215</v>
      </c>
      <c r="C34" s="249" t="s">
        <v>683</v>
      </c>
      <c r="D34" s="249" t="s">
        <v>238</v>
      </c>
      <c r="E34" s="249">
        <v>90</v>
      </c>
      <c r="F34" s="250"/>
      <c r="G34" s="279"/>
      <c r="H34" s="250">
        <f t="shared" si="1"/>
        <v>0</v>
      </c>
      <c r="I34" s="252"/>
      <c r="J34" s="249"/>
      <c r="K34" s="282"/>
    </row>
    <row r="35" spans="1:11" s="247" customFormat="1" ht="12.75" customHeight="1">
      <c r="A35" s="248">
        <f t="shared" si="0"/>
        <v>31</v>
      </c>
      <c r="B35" s="248">
        <v>974052513</v>
      </c>
      <c r="C35" s="249" t="s">
        <v>684</v>
      </c>
      <c r="D35" s="249" t="s">
        <v>238</v>
      </c>
      <c r="E35" s="249">
        <v>14</v>
      </c>
      <c r="F35" s="250"/>
      <c r="G35" s="279"/>
      <c r="H35" s="250">
        <f>(F35+G35)*E35</f>
        <v>0</v>
      </c>
      <c r="I35" s="252"/>
      <c r="J35" s="249"/>
      <c r="K35" s="282"/>
    </row>
    <row r="36" spans="1:11" s="247" customFormat="1" ht="12.75" customHeight="1">
      <c r="A36" s="248">
        <f t="shared" si="0"/>
        <v>32</v>
      </c>
      <c r="B36" s="248">
        <v>210040721</v>
      </c>
      <c r="C36" s="249" t="s">
        <v>388</v>
      </c>
      <c r="D36" s="249" t="s">
        <v>237</v>
      </c>
      <c r="E36" s="249">
        <v>6</v>
      </c>
      <c r="F36" s="250"/>
      <c r="G36" s="279"/>
      <c r="H36" s="250">
        <f t="shared" si="1"/>
        <v>0</v>
      </c>
      <c r="I36" s="250"/>
      <c r="J36" s="249"/>
      <c r="K36" s="282"/>
    </row>
    <row r="37" spans="1:11" s="247" customFormat="1" ht="12.75" customHeight="1">
      <c r="A37" s="248">
        <f t="shared" si="0"/>
        <v>33</v>
      </c>
      <c r="B37" s="248">
        <v>974054208</v>
      </c>
      <c r="C37" s="249" t="s">
        <v>389</v>
      </c>
      <c r="D37" s="249" t="s">
        <v>237</v>
      </c>
      <c r="E37" s="249">
        <v>42</v>
      </c>
      <c r="F37" s="250"/>
      <c r="G37" s="279"/>
      <c r="H37" s="250">
        <f t="shared" si="1"/>
        <v>0</v>
      </c>
      <c r="I37" s="250"/>
      <c r="J37" s="249">
        <f>E37*F37</f>
        <v>0</v>
      </c>
      <c r="K37" s="282"/>
    </row>
    <row r="38" spans="1:11" s="247" customFormat="1" ht="12.75" customHeight="1">
      <c r="A38" s="248">
        <f t="shared" si="0"/>
        <v>34</v>
      </c>
      <c r="B38" s="248" t="s">
        <v>314</v>
      </c>
      <c r="C38" s="249" t="s">
        <v>402</v>
      </c>
      <c r="D38" s="249" t="s">
        <v>237</v>
      </c>
      <c r="E38" s="249">
        <v>1</v>
      </c>
      <c r="F38" s="250"/>
      <c r="G38" s="279"/>
      <c r="H38" s="250">
        <f t="shared" si="1"/>
        <v>0</v>
      </c>
      <c r="I38" s="250"/>
      <c r="J38" s="249">
        <f aca="true" t="shared" si="3" ref="J38:J44">E38*F38</f>
        <v>0</v>
      </c>
      <c r="K38" s="282"/>
    </row>
    <row r="39" spans="1:11" s="247" customFormat="1" ht="25.5">
      <c r="A39" s="248">
        <f t="shared" si="0"/>
        <v>35</v>
      </c>
      <c r="B39" s="248" t="s">
        <v>314</v>
      </c>
      <c r="C39" s="264" t="s">
        <v>325</v>
      </c>
      <c r="D39" s="249" t="s">
        <v>326</v>
      </c>
      <c r="E39" s="249">
        <v>1</v>
      </c>
      <c r="F39" s="250"/>
      <c r="G39" s="279"/>
      <c r="H39" s="250">
        <f t="shared" si="1"/>
        <v>0</v>
      </c>
      <c r="I39" s="250"/>
      <c r="J39" s="249"/>
      <c r="K39" s="282"/>
    </row>
    <row r="40" spans="1:11" s="247" customFormat="1" ht="12.75" customHeight="1">
      <c r="A40" s="248">
        <f t="shared" si="0"/>
        <v>36</v>
      </c>
      <c r="B40" s="248" t="s">
        <v>314</v>
      </c>
      <c r="C40" s="249" t="s">
        <v>685</v>
      </c>
      <c r="D40" s="249" t="s">
        <v>237</v>
      </c>
      <c r="E40" s="249">
        <v>1</v>
      </c>
      <c r="F40" s="279"/>
      <c r="G40" s="279"/>
      <c r="H40" s="250">
        <f t="shared" si="1"/>
        <v>0</v>
      </c>
      <c r="I40" s="250"/>
      <c r="J40" s="249"/>
      <c r="K40" s="282"/>
    </row>
    <row r="41" spans="1:11" s="247" customFormat="1" ht="12.75" customHeight="1">
      <c r="A41" s="248">
        <f t="shared" si="0"/>
        <v>37</v>
      </c>
      <c r="B41" s="248" t="s">
        <v>314</v>
      </c>
      <c r="C41" s="249" t="s">
        <v>686</v>
      </c>
      <c r="D41" s="249" t="s">
        <v>326</v>
      </c>
      <c r="E41" s="249">
        <v>1</v>
      </c>
      <c r="F41" s="279"/>
      <c r="G41" s="250"/>
      <c r="H41" s="250">
        <f t="shared" si="1"/>
        <v>0</v>
      </c>
      <c r="I41" s="250"/>
      <c r="J41" s="249">
        <f t="shared" si="3"/>
        <v>0</v>
      </c>
      <c r="K41" s="282"/>
    </row>
    <row r="42" spans="1:11" s="247" customFormat="1" ht="12.75" customHeight="1">
      <c r="A42" s="248">
        <f t="shared" si="0"/>
        <v>38</v>
      </c>
      <c r="B42" s="248" t="s">
        <v>242</v>
      </c>
      <c r="C42" s="249" t="s">
        <v>390</v>
      </c>
      <c r="D42" s="249" t="s">
        <v>327</v>
      </c>
      <c r="E42" s="249">
        <v>24</v>
      </c>
      <c r="F42" s="250"/>
      <c r="G42" s="279"/>
      <c r="H42" s="250">
        <f t="shared" si="1"/>
        <v>0</v>
      </c>
      <c r="I42" s="250"/>
      <c r="J42" s="249">
        <f t="shared" si="3"/>
        <v>0</v>
      </c>
      <c r="K42" s="282"/>
    </row>
    <row r="43" spans="1:11" s="247" customFormat="1" ht="12.75" customHeight="1">
      <c r="A43" s="248">
        <f t="shared" si="0"/>
        <v>39</v>
      </c>
      <c r="B43" s="248" t="s">
        <v>242</v>
      </c>
      <c r="C43" s="249" t="s">
        <v>328</v>
      </c>
      <c r="D43" s="249" t="s">
        <v>327</v>
      </c>
      <c r="E43" s="249">
        <v>18</v>
      </c>
      <c r="F43" s="250"/>
      <c r="G43" s="279"/>
      <c r="H43" s="250">
        <f t="shared" si="1"/>
        <v>0</v>
      </c>
      <c r="I43" s="250"/>
      <c r="J43" s="249">
        <f t="shared" si="3"/>
        <v>0</v>
      </c>
      <c r="K43" s="282"/>
    </row>
    <row r="44" spans="1:11" s="247" customFormat="1" ht="12.75" customHeight="1">
      <c r="A44" s="248"/>
      <c r="B44" s="248"/>
      <c r="C44" s="263" t="s">
        <v>329</v>
      </c>
      <c r="D44" s="249"/>
      <c r="E44" s="249"/>
      <c r="F44" s="250"/>
      <c r="G44" s="250"/>
      <c r="H44" s="252">
        <f>SUM(H5:H43)</f>
        <v>0</v>
      </c>
      <c r="I44" s="250"/>
      <c r="J44" s="249">
        <f t="shared" si="3"/>
        <v>0</v>
      </c>
      <c r="K44" s="282"/>
    </row>
    <row r="45" spans="1:11" s="247" customFormat="1" ht="12.75" customHeight="1">
      <c r="A45" s="248"/>
      <c r="B45" s="248"/>
      <c r="C45" s="263"/>
      <c r="D45" s="249"/>
      <c r="E45" s="249"/>
      <c r="F45" s="250"/>
      <c r="G45" s="250"/>
      <c r="H45" s="252"/>
      <c r="I45" s="252"/>
      <c r="J45" s="249">
        <f>SUM(J37:J44)</f>
        <v>0</v>
      </c>
      <c r="K45" s="282"/>
    </row>
    <row r="46" spans="1:11" s="247" customFormat="1" ht="12.75" customHeight="1">
      <c r="A46" s="248"/>
      <c r="B46" s="248"/>
      <c r="C46" s="263" t="s">
        <v>687</v>
      </c>
      <c r="D46" s="249"/>
      <c r="E46" s="249"/>
      <c r="F46" s="250"/>
      <c r="G46" s="250"/>
      <c r="H46" s="250"/>
      <c r="I46" s="252"/>
      <c r="J46" s="249"/>
      <c r="K46" s="282"/>
    </row>
    <row r="47" spans="1:11" s="247" customFormat="1" ht="12.75" customHeight="1">
      <c r="A47" s="248">
        <v>1</v>
      </c>
      <c r="B47" s="248"/>
      <c r="C47" s="249" t="s">
        <v>688</v>
      </c>
      <c r="D47" s="249" t="s">
        <v>237</v>
      </c>
      <c r="E47" s="249">
        <v>1</v>
      </c>
      <c r="F47" s="279"/>
      <c r="G47" s="250"/>
      <c r="H47" s="250">
        <f aca="true" t="shared" si="4" ref="H47:H55">(F47+G47)*E47</f>
        <v>0</v>
      </c>
      <c r="I47" s="252"/>
      <c r="J47" s="249"/>
      <c r="K47" s="282"/>
    </row>
    <row r="48" spans="1:11" s="247" customFormat="1" ht="12.75" customHeight="1">
      <c r="A48" s="248">
        <f>A47+1</f>
        <v>2</v>
      </c>
      <c r="B48" s="248"/>
      <c r="C48" s="249" t="s">
        <v>689</v>
      </c>
      <c r="D48" s="249" t="s">
        <v>237</v>
      </c>
      <c r="E48" s="249">
        <v>1</v>
      </c>
      <c r="F48" s="279"/>
      <c r="G48" s="250"/>
      <c r="H48" s="250">
        <f t="shared" si="4"/>
        <v>0</v>
      </c>
      <c r="I48" s="252"/>
      <c r="J48" s="249"/>
      <c r="K48" s="282"/>
    </row>
    <row r="49" spans="1:11" s="247" customFormat="1" ht="18" customHeight="1">
      <c r="A49" s="248">
        <f aca="true" t="shared" si="5" ref="A49:A55">A48+1</f>
        <v>3</v>
      </c>
      <c r="B49" s="248"/>
      <c r="C49" s="249" t="s">
        <v>690</v>
      </c>
      <c r="D49" s="249" t="s">
        <v>237</v>
      </c>
      <c r="E49" s="249">
        <v>1</v>
      </c>
      <c r="F49" s="279"/>
      <c r="G49" s="250"/>
      <c r="H49" s="250">
        <f t="shared" si="4"/>
        <v>0</v>
      </c>
      <c r="I49" s="252"/>
      <c r="J49" s="249"/>
      <c r="K49" s="282"/>
    </row>
    <row r="50" spans="1:11" s="247" customFormat="1" ht="12.75" customHeight="1">
      <c r="A50" s="248">
        <f t="shared" si="5"/>
        <v>4</v>
      </c>
      <c r="B50" s="248"/>
      <c r="C50" s="249" t="s">
        <v>391</v>
      </c>
      <c r="D50" s="249" t="s">
        <v>237</v>
      </c>
      <c r="E50" s="249">
        <v>1</v>
      </c>
      <c r="F50" s="279"/>
      <c r="G50" s="250"/>
      <c r="H50" s="250">
        <f t="shared" si="4"/>
        <v>0</v>
      </c>
      <c r="I50" s="252"/>
      <c r="J50" s="249"/>
      <c r="K50" s="282"/>
    </row>
    <row r="51" spans="1:11" s="247" customFormat="1" ht="12.75" customHeight="1">
      <c r="A51" s="248">
        <f t="shared" si="5"/>
        <v>5</v>
      </c>
      <c r="B51" s="248"/>
      <c r="C51" s="249" t="s">
        <v>691</v>
      </c>
      <c r="D51" s="249" t="s">
        <v>237</v>
      </c>
      <c r="E51" s="249">
        <v>2</v>
      </c>
      <c r="F51" s="279"/>
      <c r="G51" s="250"/>
      <c r="H51" s="250">
        <f t="shared" si="4"/>
        <v>0</v>
      </c>
      <c r="I51" s="252"/>
      <c r="J51" s="249"/>
      <c r="K51" s="282"/>
    </row>
    <row r="52" spans="1:11" s="247" customFormat="1" ht="12.75" customHeight="1">
      <c r="A52" s="248">
        <f t="shared" si="5"/>
        <v>6</v>
      </c>
      <c r="B52" s="248"/>
      <c r="C52" s="249" t="s">
        <v>692</v>
      </c>
      <c r="D52" s="249" t="s">
        <v>237</v>
      </c>
      <c r="E52" s="249">
        <v>7</v>
      </c>
      <c r="F52" s="279"/>
      <c r="G52" s="250"/>
      <c r="H52" s="250">
        <f t="shared" si="4"/>
        <v>0</v>
      </c>
      <c r="I52" s="250"/>
      <c r="J52" s="249">
        <f>E52*F52</f>
        <v>0</v>
      </c>
      <c r="K52" s="282"/>
    </row>
    <row r="53" spans="1:11" s="247" customFormat="1" ht="12.75" customHeight="1">
      <c r="A53" s="248">
        <f t="shared" si="5"/>
        <v>7</v>
      </c>
      <c r="B53" s="248"/>
      <c r="C53" s="249" t="s">
        <v>330</v>
      </c>
      <c r="D53" s="249" t="s">
        <v>238</v>
      </c>
      <c r="E53" s="249">
        <v>0.5</v>
      </c>
      <c r="F53" s="279"/>
      <c r="G53" s="250"/>
      <c r="H53" s="250">
        <f t="shared" si="4"/>
        <v>0</v>
      </c>
      <c r="I53" s="250"/>
      <c r="J53" s="249"/>
      <c r="K53" s="282"/>
    </row>
    <row r="54" spans="1:11" s="247" customFormat="1" ht="12.75" customHeight="1">
      <c r="A54" s="248">
        <f t="shared" si="5"/>
        <v>8</v>
      </c>
      <c r="B54" s="248"/>
      <c r="C54" s="249" t="s">
        <v>693</v>
      </c>
      <c r="D54" s="249" t="s">
        <v>234</v>
      </c>
      <c r="E54" s="249">
        <v>1</v>
      </c>
      <c r="F54" s="279"/>
      <c r="G54" s="250"/>
      <c r="H54" s="250">
        <f t="shared" si="4"/>
        <v>0</v>
      </c>
      <c r="I54" s="250"/>
      <c r="J54" s="249"/>
      <c r="K54" s="282"/>
    </row>
    <row r="55" spans="1:11" s="247" customFormat="1" ht="12.75" customHeight="1">
      <c r="A55" s="248">
        <f t="shared" si="5"/>
        <v>9</v>
      </c>
      <c r="B55" s="248"/>
      <c r="C55" s="249" t="s">
        <v>331</v>
      </c>
      <c r="D55" s="249" t="s">
        <v>234</v>
      </c>
      <c r="E55" s="249">
        <v>1</v>
      </c>
      <c r="F55" s="250"/>
      <c r="G55" s="279"/>
      <c r="H55" s="250">
        <f t="shared" si="4"/>
        <v>0</v>
      </c>
      <c r="I55" s="250"/>
      <c r="J55" s="249">
        <f>E55*F55</f>
        <v>0</v>
      </c>
      <c r="K55" s="282"/>
    </row>
    <row r="56" spans="1:11" s="247" customFormat="1" ht="12.75" customHeight="1">
      <c r="A56" s="248"/>
      <c r="B56" s="248"/>
      <c r="C56" s="263" t="s">
        <v>694</v>
      </c>
      <c r="D56" s="249"/>
      <c r="E56" s="249"/>
      <c r="F56" s="249"/>
      <c r="G56" s="249"/>
      <c r="H56" s="252">
        <f>SUM(H47:H55)</f>
        <v>0</v>
      </c>
      <c r="I56" s="250"/>
      <c r="J56" s="249"/>
      <c r="K56" s="282"/>
    </row>
    <row r="57" spans="1:11" s="247" customFormat="1" ht="12.75" customHeight="1">
      <c r="A57" s="248"/>
      <c r="B57" s="248"/>
      <c r="C57" s="263"/>
      <c r="D57" s="249"/>
      <c r="E57" s="249"/>
      <c r="F57" s="249"/>
      <c r="G57" s="249"/>
      <c r="H57" s="252"/>
      <c r="I57" s="250"/>
      <c r="J57" s="249"/>
      <c r="K57" s="282"/>
    </row>
    <row r="58" spans="1:11" s="247" customFormat="1" ht="12.75" customHeight="1">
      <c r="A58" s="248"/>
      <c r="B58" s="248"/>
      <c r="C58" s="267" t="s">
        <v>332</v>
      </c>
      <c r="D58" s="249"/>
      <c r="E58" s="249"/>
      <c r="F58" s="249"/>
      <c r="G58" s="249"/>
      <c r="H58" s="252"/>
      <c r="I58" s="250"/>
      <c r="J58" s="249"/>
      <c r="K58" s="282"/>
    </row>
    <row r="59" spans="1:11" s="247" customFormat="1" ht="12.75" customHeight="1">
      <c r="A59" s="248"/>
      <c r="B59" s="248"/>
      <c r="C59" s="263" t="s">
        <v>310</v>
      </c>
      <c r="D59" s="249"/>
      <c r="E59" s="248" t="s">
        <v>240</v>
      </c>
      <c r="F59" s="248" t="s">
        <v>311</v>
      </c>
      <c r="G59" s="248" t="s">
        <v>312</v>
      </c>
      <c r="H59" s="248" t="s">
        <v>241</v>
      </c>
      <c r="I59" s="250"/>
      <c r="J59" s="249"/>
      <c r="K59" s="282"/>
    </row>
    <row r="60" spans="1:11" s="247" customFormat="1" ht="12.75" customHeight="1">
      <c r="A60" s="248">
        <v>1</v>
      </c>
      <c r="B60" s="248">
        <v>210111012</v>
      </c>
      <c r="C60" s="249" t="s">
        <v>695</v>
      </c>
      <c r="D60" s="249" t="s">
        <v>237</v>
      </c>
      <c r="E60" s="249">
        <v>3</v>
      </c>
      <c r="F60" s="279"/>
      <c r="G60" s="279"/>
      <c r="H60" s="250">
        <f aca="true" t="shared" si="6" ref="H60:H73">(F60+G60)*E60</f>
        <v>0</v>
      </c>
      <c r="I60" s="250"/>
      <c r="J60" s="249">
        <f>E60*F60</f>
        <v>0</v>
      </c>
      <c r="K60" s="282"/>
    </row>
    <row r="61" spans="1:11" s="247" customFormat="1" ht="12.75" customHeight="1">
      <c r="A61" s="248">
        <f aca="true" t="shared" si="7" ref="A61:A73">A60+1</f>
        <v>2</v>
      </c>
      <c r="B61" s="248">
        <v>210111012</v>
      </c>
      <c r="C61" s="249" t="s">
        <v>392</v>
      </c>
      <c r="D61" s="249" t="s">
        <v>237</v>
      </c>
      <c r="E61" s="249">
        <v>1</v>
      </c>
      <c r="F61" s="279"/>
      <c r="G61" s="279"/>
      <c r="H61" s="250">
        <f t="shared" si="6"/>
        <v>0</v>
      </c>
      <c r="I61" s="250"/>
      <c r="J61" s="249"/>
      <c r="K61" s="282"/>
    </row>
    <row r="62" spans="1:11" s="247" customFormat="1" ht="12.75" customHeight="1">
      <c r="A62" s="248">
        <f t="shared" si="7"/>
        <v>3</v>
      </c>
      <c r="B62" s="248">
        <v>210111012</v>
      </c>
      <c r="C62" s="249" t="s">
        <v>696</v>
      </c>
      <c r="D62" s="249" t="s">
        <v>237</v>
      </c>
      <c r="E62" s="249">
        <v>1</v>
      </c>
      <c r="F62" s="279"/>
      <c r="G62" s="279"/>
      <c r="H62" s="250">
        <f t="shared" si="6"/>
        <v>0</v>
      </c>
      <c r="I62" s="249"/>
      <c r="J62" s="249"/>
      <c r="K62" s="282"/>
    </row>
    <row r="63" spans="1:12" s="247" customFormat="1" ht="12.75">
      <c r="A63" s="248">
        <f t="shared" si="7"/>
        <v>4</v>
      </c>
      <c r="B63" s="248">
        <v>210010301</v>
      </c>
      <c r="C63" s="249" t="s">
        <v>320</v>
      </c>
      <c r="D63" s="249" t="s">
        <v>237</v>
      </c>
      <c r="E63" s="249">
        <v>7</v>
      </c>
      <c r="F63" s="279"/>
      <c r="G63" s="279"/>
      <c r="H63" s="250">
        <f t="shared" si="6"/>
        <v>0</v>
      </c>
      <c r="I63" s="253"/>
      <c r="J63" s="249">
        <f>E63*F63</f>
        <v>0</v>
      </c>
      <c r="K63" s="282"/>
      <c r="L63" s="254"/>
    </row>
    <row r="64" spans="1:12" s="247" customFormat="1" ht="12.75">
      <c r="A64" s="248">
        <f t="shared" si="7"/>
        <v>5</v>
      </c>
      <c r="B64" s="248">
        <v>210010301</v>
      </c>
      <c r="C64" s="249" t="s">
        <v>697</v>
      </c>
      <c r="D64" s="249" t="s">
        <v>237</v>
      </c>
      <c r="E64" s="249">
        <v>2</v>
      </c>
      <c r="F64" s="279"/>
      <c r="G64" s="279"/>
      <c r="H64" s="250">
        <f t="shared" si="6"/>
        <v>0</v>
      </c>
      <c r="I64" s="253"/>
      <c r="J64" s="249">
        <f>E64*F64</f>
        <v>0</v>
      </c>
      <c r="K64" s="282"/>
      <c r="L64" s="254"/>
    </row>
    <row r="65" spans="1:12" s="247" customFormat="1" ht="13.5" customHeight="1">
      <c r="A65" s="248">
        <f t="shared" si="7"/>
        <v>6</v>
      </c>
      <c r="B65" s="248">
        <v>210800549</v>
      </c>
      <c r="C65" s="249" t="s">
        <v>698</v>
      </c>
      <c r="D65" s="249" t="s">
        <v>238</v>
      </c>
      <c r="E65" s="249">
        <v>40</v>
      </c>
      <c r="F65" s="279"/>
      <c r="G65" s="279"/>
      <c r="H65" s="250">
        <f t="shared" si="6"/>
        <v>0</v>
      </c>
      <c r="I65" s="255"/>
      <c r="J65" s="249"/>
      <c r="K65" s="282"/>
      <c r="L65" s="254"/>
    </row>
    <row r="66" spans="1:11" s="247" customFormat="1" ht="13.5" customHeight="1">
      <c r="A66" s="248">
        <f t="shared" si="7"/>
        <v>7</v>
      </c>
      <c r="B66" s="248">
        <v>210800549</v>
      </c>
      <c r="C66" s="249" t="s">
        <v>699</v>
      </c>
      <c r="D66" s="249" t="s">
        <v>238</v>
      </c>
      <c r="E66" s="249">
        <v>18</v>
      </c>
      <c r="F66" s="279"/>
      <c r="G66" s="279"/>
      <c r="H66" s="250">
        <f t="shared" si="6"/>
        <v>0</v>
      </c>
      <c r="I66" s="255"/>
      <c r="J66" s="249">
        <f>SUM(J63:J64)</f>
        <v>0</v>
      </c>
      <c r="K66" s="282"/>
    </row>
    <row r="67" spans="1:11" s="247" customFormat="1" ht="13.5" customHeight="1">
      <c r="A67" s="248">
        <f t="shared" si="7"/>
        <v>8</v>
      </c>
      <c r="B67" s="248">
        <v>210010002</v>
      </c>
      <c r="C67" s="249" t="s">
        <v>700</v>
      </c>
      <c r="D67" s="249" t="s">
        <v>238</v>
      </c>
      <c r="E67" s="249">
        <v>15</v>
      </c>
      <c r="F67" s="279"/>
      <c r="G67" s="279"/>
      <c r="H67" s="250">
        <f t="shared" si="6"/>
        <v>0</v>
      </c>
      <c r="I67" s="255"/>
      <c r="J67" s="249"/>
      <c r="K67" s="282"/>
    </row>
    <row r="68" spans="1:11" s="247" customFormat="1" ht="13.5" customHeight="1">
      <c r="A68" s="248">
        <f t="shared" si="7"/>
        <v>9</v>
      </c>
      <c r="B68" s="248">
        <v>974054208</v>
      </c>
      <c r="C68" s="249" t="s">
        <v>389</v>
      </c>
      <c r="D68" s="249" t="s">
        <v>237</v>
      </c>
      <c r="E68" s="249">
        <v>4</v>
      </c>
      <c r="F68" s="250"/>
      <c r="G68" s="279"/>
      <c r="H68" s="250">
        <f t="shared" si="6"/>
        <v>0</v>
      </c>
      <c r="I68" s="255"/>
      <c r="J68" s="249"/>
      <c r="K68" s="282"/>
    </row>
    <row r="69" spans="1:11" s="247" customFormat="1" ht="12.75" customHeight="1">
      <c r="A69" s="248">
        <f t="shared" si="7"/>
        <v>10</v>
      </c>
      <c r="B69" s="248">
        <v>974051215</v>
      </c>
      <c r="C69" s="249" t="s">
        <v>683</v>
      </c>
      <c r="D69" s="249" t="s">
        <v>238</v>
      </c>
      <c r="E69" s="249">
        <v>20</v>
      </c>
      <c r="F69" s="250"/>
      <c r="G69" s="279"/>
      <c r="H69" s="250">
        <f t="shared" si="6"/>
        <v>0</v>
      </c>
      <c r="I69" s="252"/>
      <c r="J69" s="252" t="e">
        <f>#REF!+J45+J33+J66</f>
        <v>#REF!</v>
      </c>
      <c r="K69" s="282"/>
    </row>
    <row r="70" spans="1:11" s="247" customFormat="1" ht="12.75" customHeight="1">
      <c r="A70" s="248">
        <f t="shared" si="7"/>
        <v>11</v>
      </c>
      <c r="B70" s="248">
        <v>210292041</v>
      </c>
      <c r="C70" s="249" t="s">
        <v>324</v>
      </c>
      <c r="D70" s="249" t="s">
        <v>237</v>
      </c>
      <c r="E70" s="249">
        <v>3</v>
      </c>
      <c r="F70" s="250"/>
      <c r="G70" s="279"/>
      <c r="H70" s="250">
        <f t="shared" si="6"/>
        <v>0</v>
      </c>
      <c r="I70" s="252"/>
      <c r="J70" s="252"/>
      <c r="K70" s="282"/>
    </row>
    <row r="71" spans="1:11" s="247" customFormat="1" ht="12.75" customHeight="1">
      <c r="A71" s="248">
        <f t="shared" si="7"/>
        <v>12</v>
      </c>
      <c r="B71" s="248">
        <v>210010351</v>
      </c>
      <c r="C71" s="268" t="s">
        <v>701</v>
      </c>
      <c r="D71" s="249" t="s">
        <v>237</v>
      </c>
      <c r="E71" s="249">
        <v>1</v>
      </c>
      <c r="F71" s="279"/>
      <c r="G71" s="279"/>
      <c r="H71" s="250">
        <f t="shared" si="6"/>
        <v>0</v>
      </c>
      <c r="I71" s="252"/>
      <c r="J71" s="252"/>
      <c r="K71" s="282"/>
    </row>
    <row r="72" spans="1:11" s="247" customFormat="1" ht="12.75" customHeight="1">
      <c r="A72" s="248">
        <f t="shared" si="7"/>
        <v>13</v>
      </c>
      <c r="B72" s="248">
        <v>210140671</v>
      </c>
      <c r="C72" s="268" t="s">
        <v>702</v>
      </c>
      <c r="D72" s="249" t="s">
        <v>237</v>
      </c>
      <c r="E72" s="249">
        <v>1</v>
      </c>
      <c r="F72" s="250"/>
      <c r="G72" s="279"/>
      <c r="H72" s="250">
        <f t="shared" si="6"/>
        <v>0</v>
      </c>
      <c r="I72" s="252"/>
      <c r="J72" s="252"/>
      <c r="K72" s="282"/>
    </row>
    <row r="73" spans="1:11" s="247" customFormat="1" ht="12.75" customHeight="1">
      <c r="A73" s="248">
        <f t="shared" si="7"/>
        <v>14</v>
      </c>
      <c r="B73" s="248">
        <v>210860201</v>
      </c>
      <c r="C73" s="268" t="s">
        <v>703</v>
      </c>
      <c r="D73" s="249" t="s">
        <v>238</v>
      </c>
      <c r="E73" s="249">
        <v>5</v>
      </c>
      <c r="F73" s="279"/>
      <c r="G73" s="279"/>
      <c r="H73" s="250">
        <f t="shared" si="6"/>
        <v>0</v>
      </c>
      <c r="I73" s="252"/>
      <c r="J73" s="252"/>
      <c r="K73" s="282"/>
    </row>
    <row r="74" spans="1:11" s="247" customFormat="1" ht="13.5" customHeight="1">
      <c r="A74" s="248"/>
      <c r="B74" s="248"/>
      <c r="C74" s="263" t="s">
        <v>333</v>
      </c>
      <c r="D74" s="249"/>
      <c r="E74" s="249"/>
      <c r="F74" s="250"/>
      <c r="G74" s="250"/>
      <c r="H74" s="252">
        <f>SUM(H60:H73)</f>
        <v>0</v>
      </c>
      <c r="I74" s="249"/>
      <c r="J74" s="249"/>
      <c r="K74" s="282"/>
    </row>
    <row r="75" spans="1:11" s="247" customFormat="1" ht="37.5" customHeight="1">
      <c r="A75" s="248"/>
      <c r="B75" s="248"/>
      <c r="C75" s="263"/>
      <c r="D75" s="249"/>
      <c r="E75" s="249"/>
      <c r="F75" s="250"/>
      <c r="G75" s="250"/>
      <c r="H75" s="252"/>
      <c r="I75" s="256"/>
      <c r="J75" s="249"/>
      <c r="K75" s="282"/>
    </row>
    <row r="76" spans="1:11" s="247" customFormat="1" ht="13.5" customHeight="1">
      <c r="A76" s="248"/>
      <c r="B76" s="248"/>
      <c r="C76" s="263"/>
      <c r="D76" s="249"/>
      <c r="E76" s="249"/>
      <c r="F76" s="250"/>
      <c r="G76" s="250"/>
      <c r="H76" s="252"/>
      <c r="I76" s="249"/>
      <c r="J76" s="249"/>
      <c r="K76" s="282"/>
    </row>
    <row r="77" spans="1:11" s="247" customFormat="1" ht="13.5" customHeight="1">
      <c r="A77" s="248"/>
      <c r="B77" s="248"/>
      <c r="C77" s="263" t="s">
        <v>301</v>
      </c>
      <c r="D77" s="249"/>
      <c r="E77" s="249"/>
      <c r="F77" s="249"/>
      <c r="G77" s="249"/>
      <c r="H77" s="249"/>
      <c r="I77" s="249"/>
      <c r="J77" s="249"/>
      <c r="K77" s="282"/>
    </row>
    <row r="78" spans="1:11" s="247" customFormat="1" ht="12.75">
      <c r="A78" s="248">
        <v>1</v>
      </c>
      <c r="B78" s="248"/>
      <c r="C78" s="264" t="s">
        <v>709</v>
      </c>
      <c r="D78" s="249" t="s">
        <v>243</v>
      </c>
      <c r="E78" s="279"/>
      <c r="F78" s="250"/>
      <c r="G78" s="250">
        <f>(H56+H44+H74)/100*E78</f>
        <v>0</v>
      </c>
      <c r="H78" s="250">
        <f>(F78+G78)*E78</f>
        <v>0</v>
      </c>
      <c r="I78" s="249"/>
      <c r="J78" s="249"/>
      <c r="K78" s="282"/>
    </row>
    <row r="79" spans="1:11" s="247" customFormat="1" ht="13.5" customHeight="1">
      <c r="A79" s="248">
        <f>A78+1</f>
        <v>2</v>
      </c>
      <c r="B79" s="248"/>
      <c r="C79" s="264" t="s">
        <v>704</v>
      </c>
      <c r="D79" s="249" t="s">
        <v>243</v>
      </c>
      <c r="E79" s="279"/>
      <c r="F79" s="250"/>
      <c r="G79" s="250">
        <f>(H74+H56+H44)/100*E79</f>
        <v>0</v>
      </c>
      <c r="H79" s="250">
        <f>(F79+G79)*E79</f>
        <v>0</v>
      </c>
      <c r="I79" s="249"/>
      <c r="J79" s="249"/>
      <c r="K79" s="282"/>
    </row>
    <row r="80" spans="1:11" s="247" customFormat="1" ht="13.5" customHeight="1">
      <c r="A80" s="248"/>
      <c r="B80" s="248"/>
      <c r="C80" s="269" t="s">
        <v>710</v>
      </c>
      <c r="D80" s="249"/>
      <c r="E80" s="249"/>
      <c r="F80" s="250"/>
      <c r="G80" s="250"/>
      <c r="H80" s="250"/>
      <c r="I80" s="249"/>
      <c r="J80" s="249"/>
      <c r="K80" s="282"/>
    </row>
    <row r="81" spans="1:11" s="247" customFormat="1" ht="13.5" customHeight="1">
      <c r="A81" s="270"/>
      <c r="B81" s="248"/>
      <c r="C81" s="263" t="s">
        <v>335</v>
      </c>
      <c r="D81" s="263"/>
      <c r="E81" s="271"/>
      <c r="F81" s="263"/>
      <c r="G81" s="263"/>
      <c r="H81" s="252">
        <f>SUM(H78:H79)</f>
        <v>0</v>
      </c>
      <c r="I81" s="249"/>
      <c r="J81" s="249"/>
      <c r="K81" s="282"/>
    </row>
    <row r="82" spans="1:11" s="1" customFormat="1" ht="24.75" customHeight="1">
      <c r="A82" s="270"/>
      <c r="B82" s="270"/>
      <c r="C82" s="272"/>
      <c r="D82" s="272"/>
      <c r="E82" s="273"/>
      <c r="F82" s="272"/>
      <c r="G82" s="272"/>
      <c r="H82" s="274"/>
      <c r="I82" s="25"/>
      <c r="J82" s="25"/>
      <c r="K82" s="183"/>
    </row>
    <row r="83" spans="1:11" s="1" customFormat="1" ht="27.75" customHeight="1">
      <c r="A83" s="248"/>
      <c r="B83" s="248"/>
      <c r="C83" s="263" t="s">
        <v>336</v>
      </c>
      <c r="D83" s="249"/>
      <c r="E83" s="249"/>
      <c r="F83" s="249"/>
      <c r="G83" s="249"/>
      <c r="H83" s="252">
        <f>H81+H74+H56+H44</f>
        <v>0</v>
      </c>
      <c r="I83" s="25"/>
      <c r="J83" s="25"/>
      <c r="K83" s="183"/>
    </row>
    <row r="84" spans="1:11" s="1" customFormat="1" ht="15" customHeight="1">
      <c r="A84" s="248"/>
      <c r="B84" s="248"/>
      <c r="C84" s="263" t="s">
        <v>337</v>
      </c>
      <c r="D84" s="275">
        <v>0.15</v>
      </c>
      <c r="E84" s="249"/>
      <c r="F84" s="249"/>
      <c r="G84" s="249"/>
      <c r="H84" s="252">
        <f>H83*D84</f>
        <v>0</v>
      </c>
      <c r="I84" s="25"/>
      <c r="J84" s="25"/>
      <c r="K84" s="183"/>
    </row>
    <row r="85" spans="1:11" s="1" customFormat="1" ht="12.75">
      <c r="A85" s="248"/>
      <c r="B85" s="248"/>
      <c r="C85" s="263" t="s">
        <v>338</v>
      </c>
      <c r="D85" s="249"/>
      <c r="E85" s="249"/>
      <c r="F85" s="249"/>
      <c r="G85" s="249"/>
      <c r="H85" s="252">
        <f>SUM(H83:H84)</f>
        <v>0</v>
      </c>
      <c r="I85" s="25"/>
      <c r="J85" s="25"/>
      <c r="K85" s="183"/>
    </row>
    <row r="86" spans="1:11" s="1" customFormat="1" ht="12.75" customHeight="1">
      <c r="A86" s="248"/>
      <c r="B86" s="248"/>
      <c r="C86" s="263"/>
      <c r="D86" s="249"/>
      <c r="E86" s="249"/>
      <c r="F86" s="249"/>
      <c r="G86" s="249"/>
      <c r="H86" s="252"/>
      <c r="I86" s="25"/>
      <c r="J86" s="25"/>
      <c r="K86" s="183"/>
    </row>
    <row r="87" spans="1:11" s="1" customFormat="1" ht="12.75">
      <c r="A87" s="248"/>
      <c r="B87" s="248"/>
      <c r="C87" s="263" t="s">
        <v>339</v>
      </c>
      <c r="D87" s="249"/>
      <c r="E87" s="249"/>
      <c r="F87" s="249"/>
      <c r="G87" s="249"/>
      <c r="H87" s="249"/>
      <c r="I87" s="25"/>
      <c r="J87" s="25"/>
      <c r="K87" s="183"/>
    </row>
    <row r="88" spans="1:11" s="1" customFormat="1" ht="12.75">
      <c r="A88" s="248"/>
      <c r="B88" s="248"/>
      <c r="C88" s="324" t="s">
        <v>340</v>
      </c>
      <c r="D88" s="324"/>
      <c r="E88" s="324"/>
      <c r="F88" s="324"/>
      <c r="G88" s="324"/>
      <c r="H88" s="324"/>
      <c r="I88" s="25"/>
      <c r="J88" s="25"/>
      <c r="K88" s="183"/>
    </row>
    <row r="89" spans="1:11" s="1" customFormat="1" ht="12.75" customHeight="1">
      <c r="A89" s="248"/>
      <c r="B89" s="248"/>
      <c r="C89" s="325" t="s">
        <v>228</v>
      </c>
      <c r="D89" s="325"/>
      <c r="E89" s="325"/>
      <c r="F89" s="325"/>
      <c r="G89" s="325"/>
      <c r="H89" s="325"/>
      <c r="I89" s="25"/>
      <c r="J89" s="25"/>
      <c r="K89" s="183"/>
    </row>
    <row r="90" spans="1:11" s="1" customFormat="1" ht="12.75">
      <c r="A90" s="248"/>
      <c r="B90" s="248"/>
      <c r="C90" s="304" t="s">
        <v>341</v>
      </c>
      <c r="D90" s="304"/>
      <c r="E90" s="304"/>
      <c r="F90" s="304"/>
      <c r="G90" s="304"/>
      <c r="H90" s="304"/>
      <c r="I90" s="25"/>
      <c r="J90" s="25"/>
      <c r="K90" s="183"/>
    </row>
    <row r="91" spans="1:11" s="1" customFormat="1" ht="12.75">
      <c r="A91" s="248"/>
      <c r="B91" s="248"/>
      <c r="C91" s="306" t="s">
        <v>342</v>
      </c>
      <c r="D91" s="306"/>
      <c r="E91" s="306"/>
      <c r="F91" s="306"/>
      <c r="G91" s="306"/>
      <c r="H91" s="306"/>
      <c r="I91" s="25"/>
      <c r="J91" s="25"/>
      <c r="K91" s="183"/>
    </row>
    <row r="92" spans="1:11" s="1" customFormat="1" ht="12.75">
      <c r="A92" s="248"/>
      <c r="B92" s="248"/>
      <c r="C92" s="304" t="s">
        <v>343</v>
      </c>
      <c r="D92" s="304"/>
      <c r="E92" s="304"/>
      <c r="F92" s="304"/>
      <c r="G92" s="304"/>
      <c r="H92" s="304"/>
      <c r="I92" s="25"/>
      <c r="J92" s="25"/>
      <c r="K92" s="183"/>
    </row>
    <row r="93" spans="1:11" s="1" customFormat="1" ht="12.75" customHeight="1">
      <c r="A93" s="248"/>
      <c r="B93" s="248"/>
      <c r="C93" s="323" t="s">
        <v>344</v>
      </c>
      <c r="D93" s="323"/>
      <c r="E93" s="323"/>
      <c r="F93" s="323"/>
      <c r="G93" s="323"/>
      <c r="H93" s="323"/>
      <c r="I93" s="25"/>
      <c r="J93" s="25"/>
      <c r="K93" s="183"/>
    </row>
    <row r="94" spans="1:11" s="1" customFormat="1" ht="12.75" customHeight="1">
      <c r="A94" s="248"/>
      <c r="B94" s="248"/>
      <c r="C94" s="276" t="s">
        <v>345</v>
      </c>
      <c r="D94" s="276"/>
      <c r="E94" s="276"/>
      <c r="F94" s="276"/>
      <c r="G94" s="276"/>
      <c r="H94" s="276"/>
      <c r="I94" s="25"/>
      <c r="J94" s="25"/>
      <c r="K94" s="183"/>
    </row>
    <row r="95" spans="1:11" s="1" customFormat="1" ht="12.75" customHeight="1">
      <c r="A95" s="277"/>
      <c r="B95" s="277"/>
      <c r="C95" s="306" t="s">
        <v>232</v>
      </c>
      <c r="D95" s="306"/>
      <c r="E95" s="306"/>
      <c r="F95" s="306"/>
      <c r="G95" s="306"/>
      <c r="H95" s="306"/>
      <c r="I95" s="25"/>
      <c r="J95" s="25"/>
      <c r="K95" s="183"/>
    </row>
    <row r="96" spans="1:8" ht="12.75">
      <c r="A96" s="277"/>
      <c r="B96" s="277"/>
      <c r="C96" s="306" t="s">
        <v>233</v>
      </c>
      <c r="D96" s="306"/>
      <c r="E96" s="306"/>
      <c r="F96" s="306"/>
      <c r="G96" s="306"/>
      <c r="H96" s="306"/>
    </row>
    <row r="97" spans="1:8" ht="12.75">
      <c r="A97" s="277"/>
      <c r="B97" s="277"/>
      <c r="C97" s="306" t="s">
        <v>264</v>
      </c>
      <c r="D97" s="306"/>
      <c r="E97" s="306"/>
      <c r="F97" s="306"/>
      <c r="G97" s="306"/>
      <c r="H97" s="306"/>
    </row>
  </sheetData>
  <sheetProtection password="C6F8" sheet="1"/>
  <mergeCells count="10">
    <mergeCell ref="B1:J1"/>
    <mergeCell ref="C92:H92"/>
    <mergeCell ref="C96:H96"/>
    <mergeCell ref="C97:H97"/>
    <mergeCell ref="C91:H91"/>
    <mergeCell ref="C93:H93"/>
    <mergeCell ref="C95:H95"/>
    <mergeCell ref="C88:H88"/>
    <mergeCell ref="C89:H89"/>
    <mergeCell ref="C90:H90"/>
  </mergeCells>
  <conditionalFormatting sqref="C89">
    <cfRule type="expression" priority="1" dxfId="3" stopIfTrue="1">
      <formula>ISTEXT(C89)</formula>
    </cfRule>
  </conditionalFormatting>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Miroslav Šiška</dc:creator>
  <cp:keywords/>
  <dc:description/>
  <cp:lastModifiedBy>tomashromadko</cp:lastModifiedBy>
  <cp:lastPrinted>2019-01-25T15:42:17Z</cp:lastPrinted>
  <dcterms:created xsi:type="dcterms:W3CDTF">2015-06-09T11:12:40Z</dcterms:created>
  <dcterms:modified xsi:type="dcterms:W3CDTF">2020-05-29T14:28:07Z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