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32760" windowWidth="14685" windowHeight="13875" tabRatio="721" activeTab="0"/>
  </bookViews>
  <sheets>
    <sheet name="OBJEKT_CELKOVÉ NÁKLADY" sheetId="1" r:id="rId1"/>
    <sheet name="ESA_ESI" sheetId="2" r:id="rId2"/>
  </sheets>
  <definedNames>
    <definedName name="_2d">#REF!</definedName>
    <definedName name="cc">'OBJEKT_CELKOVÉ NÁKLADY'!#REF!</definedName>
    <definedName name="ccc">'OBJEKT_CELKOVÉ NÁKLADY'!#REF!</definedName>
    <definedName name="cccc">'OBJEKT_CELKOVÉ NÁKLADY'!#REF!</definedName>
    <definedName name="ccccc">'OBJEKT_CELKOVÉ NÁKLADY'!#REF!</definedName>
    <definedName name="cccccc">'OBJEKT_CELKOVÉ NÁKLADY'!#REF!</definedName>
    <definedName name="ccccccc">'OBJEKT_CELKOVÉ NÁKLADY'!#REF!</definedName>
    <definedName name="ccccccccc">'OBJEKT_CELKOVÉ NÁKLADY'!#REF!</definedName>
    <definedName name="cccccccccc">'OBJEKT_CELKOVÉ NÁKLADY'!#REF!</definedName>
    <definedName name="ccccccccccc">'OBJEKT_CELKOVÉ NÁKLADY'!#REF!</definedName>
    <definedName name="ce">'OBJEKT_CELKOVÉ NÁKLADY'!#REF!</definedName>
    <definedName name="cen">'OBJEKT_CELKOVÉ NÁKLADY'!#REF!</definedName>
    <definedName name="cena">'OBJEKT_CELKOVÉ NÁKLADY'!#REF!</definedName>
    <definedName name="Cena_">'OBJEKT_CELKOVÉ NÁKLADY'!#REF!</definedName>
    <definedName name="Cena_1">'OBJEKT_CELKOVÉ NÁKLADY'!$H$149</definedName>
    <definedName name="Cena_2a">'OBJEKT_CELKOVÉ NÁKLADY'!$H$177</definedName>
    <definedName name="Cena_2b">'OBJEKT_CELKOVÉ NÁKLADY'!$H$197</definedName>
    <definedName name="Cena_2c">'OBJEKT_CELKOVÉ NÁKLADY'!$H$276</definedName>
    <definedName name="Cena_2d">'OBJEKT_CELKOVÉ NÁKLADY'!$H$393</definedName>
    <definedName name="Cena_2e">'OBJEKT_CELKOVÉ NÁKLADY'!$H$411</definedName>
    <definedName name="Cena_2f">'OBJEKT_CELKOVÉ NÁKLADY'!$H$443</definedName>
    <definedName name="Cena_2g">'OBJEKT_CELKOVÉ NÁKLADY'!$H$513</definedName>
    <definedName name="Cena_2h">'OBJEKT_CELKOVÉ NÁKLADY'!$H$519</definedName>
    <definedName name="Cena_2i">'OBJEKT_CELKOVÉ NÁKLADY'!$H$468</definedName>
    <definedName name="Cena_2j">'OBJEKT_CELKOVÉ NÁKLADY'!$H$307</definedName>
    <definedName name="Cena_2k">'OBJEKT_CELKOVÉ NÁKLADY'!$H$319</definedName>
    <definedName name="Cena_2l">'OBJEKT_CELKOVÉ NÁKLADY'!$H$347</definedName>
    <definedName name="Cena_2m">'OBJEKT_CELKOVÉ NÁKLADY'!$H$359</definedName>
    <definedName name="Cena_3a">'OBJEKT_CELKOVÉ NÁKLADY'!$H$513</definedName>
    <definedName name="Cena_3b">'OBJEKT_CELKOVÉ NÁKLADY'!$H$519</definedName>
    <definedName name="Cena_3c">'OBJEKT_CELKOVÉ NÁKLADY'!$H$468</definedName>
    <definedName name="Cena_3d">'OBJEKT_CELKOVÉ NÁKLADY'!$H$307</definedName>
    <definedName name="Cena_3e">'OBJEKT_CELKOVÉ NÁKLADY'!#REF!</definedName>
    <definedName name="Cena_3f">'OBJEKT_CELKOVÉ NÁKLADY'!#REF!</definedName>
    <definedName name="Cena_3g">'OBJEKT_CELKOVÉ NÁKLADY'!#REF!</definedName>
    <definedName name="Cena_4a">'OBJEKT_CELKOVÉ NÁKLADY'!#REF!</definedName>
    <definedName name="Cena_4b">'OBJEKT_CELKOVÉ NÁKLADY'!#REF!</definedName>
    <definedName name="Cena_4c">'OBJEKT_CELKOVÉ NÁKLADY'!#REF!</definedName>
    <definedName name="Cena_4d">'OBJEKT_CELKOVÉ NÁKLADY'!#REF!</definedName>
    <definedName name="Cena_4e">'OBJEKT_CELKOVÉ NÁKLADY'!#REF!</definedName>
    <definedName name="Cena_5">'OBJEKT_CELKOVÉ NÁKLADY'!#REF!</definedName>
    <definedName name="Cena_6">'OBJEKT_CELKOVÉ NÁKLADY'!#REF!</definedName>
    <definedName name="Cena_dokoncovaci_prace">'OBJEKT_CELKOVÉ NÁKLADY'!$H$523</definedName>
    <definedName name="Cena_doplňky_dodavatele">'OBJEKT_CELKOVÉ NÁKLADY'!#REF!</definedName>
    <definedName name="Dokoncovaci_prace">'OBJEKT_CELKOVÉ NÁKLADY'!$D$521</definedName>
    <definedName name="Doplňky_dodavatele">'OBJEKT_CELKOVÉ NÁKLADY'!#REF!</definedName>
    <definedName name="kap">'OBJEKT_CELKOVÉ NÁKLADY'!#REF!</definedName>
    <definedName name="kap5">'OBJEKT_CELKOVÉ NÁKLADY'!#REF!</definedName>
    <definedName name="kap6">'OBJEKT_CELKOVÉ NÁKLADY'!#REF!</definedName>
    <definedName name="kapc">'OBJEKT_CELKOVÉ NÁKLADY'!#REF!</definedName>
    <definedName name="kapd">'OBJEKT_CELKOVÉ NÁKLADY'!#REF!</definedName>
    <definedName name="kape">'OBJEKT_CELKOVÉ NÁKLADY'!#REF!</definedName>
    <definedName name="Kapitola_1">'OBJEKT_CELKOVÉ NÁKLADY'!$D$113</definedName>
    <definedName name="Kapitola_2">'OBJEKT_CELKOVÉ NÁKLADY'!$D$151</definedName>
    <definedName name="Kapitola_2a">'OBJEKT_CELKOVÉ NÁKLADY'!$D$152</definedName>
    <definedName name="Kapitola_2b">'OBJEKT_CELKOVÉ NÁKLADY'!$D$179</definedName>
    <definedName name="Kapitola_2c">'OBJEKT_CELKOVÉ NÁKLADY'!$D$199</definedName>
    <definedName name="Kapitola_2d">'OBJEKT_CELKOVÉ NÁKLADY'!$D$378</definedName>
    <definedName name="Kapitola_2e">'OBJEKT_CELKOVÉ NÁKLADY'!$D$395</definedName>
    <definedName name="Kapitola_2f">'OBJEKT_CELKOVÉ NÁKLADY'!$D$414</definedName>
    <definedName name="Kapitola_2g">'OBJEKT_CELKOVÉ NÁKLADY'!$D$508</definedName>
    <definedName name="Kapitola_2h">'OBJEKT_CELKOVÉ NÁKLADY'!$D$515</definedName>
    <definedName name="Kapitola_2i">'OBJEKT_CELKOVÉ NÁKLADY'!$D$445</definedName>
    <definedName name="Kapitola_2j">'OBJEKT_CELKOVÉ NÁKLADY'!$D$278</definedName>
    <definedName name="Kapitola_2k">'OBJEKT_CELKOVÉ NÁKLADY'!$D$309</definedName>
    <definedName name="Kapitola_2l">'OBJEKT_CELKOVÉ NÁKLADY'!$D$321</definedName>
    <definedName name="Kapitola_2m">'OBJEKT_CELKOVÉ NÁKLADY'!$D$349</definedName>
    <definedName name="Kapitola_3">'OBJEKT_CELKOVÉ NÁKLADY'!#REF!</definedName>
    <definedName name="Kapitola_4">'OBJEKT_CELKOVÉ NÁKLADY'!#REF!</definedName>
    <definedName name="Kapitola_4a">'OBJEKT_CELKOVÉ NÁKLADY'!#REF!</definedName>
    <definedName name="Kapitola_4b">'OBJEKT_CELKOVÉ NÁKLADY'!#REF!</definedName>
    <definedName name="Kapitola_4c">'OBJEKT_CELKOVÉ NÁKLADY'!#REF!</definedName>
    <definedName name="Kapitola_4d">'OBJEKT_CELKOVÉ NÁKLADY'!#REF!</definedName>
    <definedName name="Kapitola_4e">'OBJEKT_CELKOVÉ NÁKLADY'!#REF!</definedName>
    <definedName name="Kapitola_5">'OBJEKT_CELKOVÉ NÁKLADY'!#REF!</definedName>
    <definedName name="Kapitola_6">'OBJEKT_CELKOVÉ NÁKLADY'!#REF!</definedName>
    <definedName name="_xlnm.Print_Titles" localSheetId="0">'OBJEKT_CELKOVÉ NÁKLADY'!$3:$3</definedName>
    <definedName name="_xlnm.Print_Area" localSheetId="1">'ESA_ESI'!$A$1:$J$101</definedName>
    <definedName name="_xlnm.Print_Area" localSheetId="0">'OBJEKT_CELKOVÉ NÁKLADY'!$A$3:$I$523</definedName>
    <definedName name="rek3">'OBJEKT_CELKOVÉ NÁKLADY'!#REF!</definedName>
    <definedName name="rek4">'OBJEKT_CELKOVÉ NÁKLADY'!#REF!</definedName>
    <definedName name="rek4b">'OBJEKT_CELKOVÉ NÁKLADY'!#REF!</definedName>
    <definedName name="rek4c">'OBJEKT_CELKOVÉ NÁKLADY'!#REF!</definedName>
    <definedName name="rek4d">'OBJEKT_CELKOVÉ NÁKLADY'!#REF!</definedName>
    <definedName name="reka">'OBJEKT_CELKOVÉ NÁKLADY'!#REF!</definedName>
    <definedName name="Rekapitulace_1">'OBJEKT_CELKOVÉ NÁKLADY'!$D$15</definedName>
    <definedName name="Rekapitulace_2">'OBJEKT_CELKOVÉ NÁKLADY'!$D$16</definedName>
    <definedName name="Rekapitulace_2a">'OBJEKT_CELKOVÉ NÁKLADY'!$D$17</definedName>
    <definedName name="Rekapitulace_2b">'OBJEKT_CELKOVÉ NÁKLADY'!$D$18</definedName>
    <definedName name="Rekapitulace_2c">'OBJEKT_CELKOVÉ NÁKLADY'!$D$19</definedName>
    <definedName name="Rekapitulace_2d">'OBJEKT_CELKOVÉ NÁKLADY'!$D$26</definedName>
    <definedName name="Rekapitulace_2e">'OBJEKT_CELKOVÉ NÁKLADY'!$D$27</definedName>
    <definedName name="Rekapitulace_2f">'OBJEKT_CELKOVÉ NÁKLADY'!$D$28</definedName>
    <definedName name="Rekapitulace_2g">'OBJEKT_CELKOVÉ NÁKLADY'!$D$32</definedName>
    <definedName name="Rekapitulace_2h">'OBJEKT_CELKOVÉ NÁKLADY'!$D$33</definedName>
    <definedName name="Rekapitulace_2i">'OBJEKT_CELKOVÉ NÁKLADY'!$D$29</definedName>
    <definedName name="Rekapitulace_2j">'OBJEKT_CELKOVÉ NÁKLADY'!$D$20</definedName>
    <definedName name="Rekapitulace_2k">'OBJEKT_CELKOVÉ NÁKLADY'!$D$21</definedName>
    <definedName name="Rekapitulace_2l">'OBJEKT_CELKOVÉ NÁKLADY'!$D$22</definedName>
    <definedName name="Rekapitulace_2m">'OBJEKT_CELKOVÉ NÁKLADY'!$D$23</definedName>
    <definedName name="Rekapitulace_3">'OBJEKT_CELKOVÉ NÁKLADY'!#REF!</definedName>
    <definedName name="Rekapitulace_3a">'OBJEKT_CELKOVÉ NÁKLADY'!$D$33</definedName>
    <definedName name="Rekapitulace_3b">'OBJEKT_CELKOVÉ NÁKLADY'!#REF!</definedName>
    <definedName name="Rekapitulace_3c">'OBJEKT_CELKOVÉ NÁKLADY'!#REF!</definedName>
    <definedName name="Rekapitulace_3d">'OBJEKT_CELKOVÉ NÁKLADY'!#REF!</definedName>
    <definedName name="Rekapitulace_3e">'OBJEKT_CELKOVÉ NÁKLADY'!#REF!</definedName>
    <definedName name="Rekapitulace_3f">'OBJEKT_CELKOVÉ NÁKLADY'!#REF!</definedName>
    <definedName name="Rekapitulace_3g">'OBJEKT_CELKOVÉ NÁKLADY'!#REF!</definedName>
    <definedName name="Rekapitulace_4">'OBJEKT_CELKOVÉ NÁKLADY'!#REF!</definedName>
    <definedName name="Rekapitulace_4a">'OBJEKT_CELKOVÉ NÁKLADY'!#REF!</definedName>
    <definedName name="Rekapitulace_4b">'OBJEKT_CELKOVÉ NÁKLADY'!#REF!</definedName>
    <definedName name="Rekapitulace_4c">'OBJEKT_CELKOVÉ NÁKLADY'!#REF!</definedName>
    <definedName name="Rekapitulace_4d">'OBJEKT_CELKOVÉ NÁKLADY'!#REF!</definedName>
    <definedName name="Rekapitulace_4e">'OBJEKT_CELKOVÉ NÁKLADY'!#REF!</definedName>
    <definedName name="Rekapitulace_5">'OBJEKT_CELKOVÉ NÁKLADY'!#REF!</definedName>
    <definedName name="Rekapitulace_6">'OBJEKT_CELKOVÉ NÁKLADY'!#REF!</definedName>
    <definedName name="Rekapitulace_Dokončovací_práce">'OBJEKT_CELKOVÉ NÁKLADY'!$D$34</definedName>
    <definedName name="Rekapitulace_Doplňky_dodavatele">'OBJEKT_CELKOVÉ NÁKLADY'!#REF!</definedName>
    <definedName name="rekb">'OBJEKT_CELKOVÉ NÁKLADY'!#REF!</definedName>
    <definedName name="rekc">'OBJEKT_CELKOVÉ NÁKLADY'!#REF!</definedName>
    <definedName name="rekd">'OBJEKT_CELKOVÉ NÁKLADY'!#REF!</definedName>
    <definedName name="reke">'OBJEKT_CELKOVÉ NÁKLADY'!#REF!</definedName>
    <definedName name="rekf">'OBJEKT_CELKOVÉ NÁKLADY'!#REF!</definedName>
    <definedName name="rekg">'OBJEKT_CELKOVÉ NÁKLADY'!#REF!</definedName>
  </definedNames>
  <calcPr fullCalcOnLoad="1"/>
</workbook>
</file>

<file path=xl/sharedStrings.xml><?xml version="1.0" encoding="utf-8"?>
<sst xmlns="http://schemas.openxmlformats.org/spreadsheetml/2006/main" count="1717" uniqueCount="872">
  <si>
    <t>Nedílnou součástí tohoto výkazu je i projektová dokumentace. Pokud dle názoru dodavatele některé práce a dodávky ve výkazu výměr chybí, doplní je do oddílu "Doplňky dodavatele".</t>
  </si>
  <si>
    <t>kpl</t>
  </si>
  <si>
    <t>m2</t>
  </si>
  <si>
    <t>Celkem</t>
  </si>
  <si>
    <t>ks</t>
  </si>
  <si>
    <t>m</t>
  </si>
  <si>
    <t>t</t>
  </si>
  <si>
    <t>počet</t>
  </si>
  <si>
    <t>celkem</t>
  </si>
  <si>
    <t>HZS</t>
  </si>
  <si>
    <t>%</t>
  </si>
  <si>
    <t>Potrubí z PPR, D 32x5,4 mm, PN 20, vč. zed. výpom.</t>
  </si>
  <si>
    <t>V2</t>
  </si>
  <si>
    <t>V2,5</t>
  </si>
  <si>
    <t>https://www.ventilatory.cz/pvc-vzduchovody-kulate-o-100-mm-x2s16347</t>
  </si>
  <si>
    <t>Demontáž potrubí u polohy stávajícího plynoměru</t>
  </si>
  <si>
    <t>713121111R00</t>
  </si>
  <si>
    <t>713191100RT9</t>
  </si>
  <si>
    <t>Potěr anhydritový, plocha do 100 m2, tl.40 mm,pevnost 30MPa, ruční zpracování</t>
  </si>
  <si>
    <t>Broušení anhydritových potěrů - odstranění šlemu</t>
  </si>
  <si>
    <t>632441491R00</t>
  </si>
  <si>
    <t>632411906R00</t>
  </si>
  <si>
    <t>Penetrace velmi savých podkladů</t>
  </si>
  <si>
    <t>722172333R00</t>
  </si>
  <si>
    <t>Demontáž potrubí ocelových závitových DN 25</t>
  </si>
  <si>
    <t>723290823R00</t>
  </si>
  <si>
    <t>Přesun vybouraných hmot - plynovody, H 12 - 24 m</t>
  </si>
  <si>
    <t>230330051R00</t>
  </si>
  <si>
    <t>Příčka, přizdívka z tvárnic porobet. tl. 100 mm hlad. tvárnice 600 x 250 x 100 mm, P3 - 550, vč. spražení se zděnou stěnou (navrtané trny nebo pásovina do každé třetí spáry po cca 1,0 m</t>
  </si>
  <si>
    <t xml:space="preserve">Omítka stropů, napraží vnitřní tenkovrstvá vápenná - štuk, ruční provedení, položka obsahuje nátěr podkladu spojovacím můstkem, </t>
  </si>
  <si>
    <t>D1-D</t>
  </si>
  <si>
    <t>https://www.ventilatory.cz/pvc-vetraci-mrizka-kruhova-s-prirubou-a-sitkou-o-100-mm-bila-x1802</t>
  </si>
  <si>
    <t>https://www.centrum-zatepleni.cz/izolacni-vata/mineralni-vata/mineralni-vata-isover-uni/</t>
  </si>
  <si>
    <t>KD(I)1-D</t>
  </si>
  <si>
    <t>Vyvedení odpadních výpustek D 50 x 1,8 (vana)</t>
  </si>
  <si>
    <t>https://jika-shop.cz/tlacitko-ovladaci-jika-pl3-single-flush-matny-chrom-663909366000/</t>
  </si>
  <si>
    <t>725869203R00_P</t>
  </si>
  <si>
    <t>https://www.vodo-plasttop.cz/podomitkova-zapachova-uzaverka-hl405-sifon-prackovy</t>
  </si>
  <si>
    <t>Přechodový prvek mezikus (ocel/mědˇ)</t>
  </si>
  <si>
    <t>Stavební přípomoce - drážky, prostupy, zapravení</t>
  </si>
  <si>
    <t>https://www.spalensky.com/e/ostatni-drevene-vyrobky-676/dverni-prahy-971/?page=1&amp;sort=title&amp;parameters=2582</t>
  </si>
  <si>
    <t>766812114R00_P</t>
  </si>
  <si>
    <t>721171808R00_P</t>
  </si>
  <si>
    <t>Demontáž připojovacího potrubí kanalizace</t>
  </si>
  <si>
    <t>722260902R00_P</t>
  </si>
  <si>
    <t>https://www.ventilatory.cz/izolacni-navlek-o-125-mm-delka-5-m-x12563</t>
  </si>
  <si>
    <t>733163105R00</t>
  </si>
  <si>
    <t>735179110R00</t>
  </si>
  <si>
    <t>Potrubí měděné pro chráničky D 28x1,5</t>
  </si>
  <si>
    <t>Potrubí měděné pro chráničky D 35x1,5</t>
  </si>
  <si>
    <t>733163106R00</t>
  </si>
  <si>
    <t>722130801R00</t>
  </si>
  <si>
    <t>https://www.koupelnovevybaveni.cz/flexira-hadice-xconnect-gas-basic-1000-mm-r1-2-g1-2-h121g1-10</t>
  </si>
  <si>
    <t>5513101491_P</t>
  </si>
  <si>
    <t>Hadice flexi plyn 1000 mm, nerezová hadice s nerezovými převlečnými maticemi 1/2" na obou stranách s plochým těsněním NBR.</t>
  </si>
  <si>
    <t>979011219R00</t>
  </si>
  <si>
    <t>Přípl.k svislé dopr.suti za každé další NP nošením</t>
  </si>
  <si>
    <t>979082111R00</t>
  </si>
  <si>
    <t>Vnitrostaveništní doprava suti a vybouraných hmot do 10 m</t>
  </si>
  <si>
    <t>Vnitrostaveništní doprava suti a vybouraných hmot do 10m</t>
  </si>
  <si>
    <t>979990001R00_P</t>
  </si>
  <si>
    <t>Poplatek za skládku materiálu</t>
  </si>
  <si>
    <t>979095312R00</t>
  </si>
  <si>
    <t>Naložení a složení suti</t>
  </si>
  <si>
    <t>998011003R00_P</t>
  </si>
  <si>
    <t>Vedlejší rozpočtové náklady</t>
  </si>
  <si>
    <t>M.J.</t>
  </si>
  <si>
    <t>Množství</t>
  </si>
  <si>
    <t>Jedn. cena</t>
  </si>
  <si>
    <t>Cena celkem</t>
  </si>
  <si>
    <t>VRN1</t>
  </si>
  <si>
    <t xml:space="preserve">Průzkumné, geodetické a projektové práce </t>
  </si>
  <si>
    <t>VRN2</t>
  </si>
  <si>
    <t xml:space="preserve">Příprava staveniště </t>
  </si>
  <si>
    <t>Do této položky patří náklady spojené:</t>
  </si>
  <si>
    <t>VRN3</t>
  </si>
  <si>
    <t xml:space="preserve">Zařízení staveniště </t>
  </si>
  <si>
    <t>V rámci nákladů na zařízení staveniště ocení zhotovitel veškeré náklady spojené s vybudováním, provozem a odstraněním zařízení staveniště, a to ve fázích:</t>
  </si>
  <si>
    <t>VRN4</t>
  </si>
  <si>
    <t>Inženýrská činnost</t>
  </si>
  <si>
    <t xml:space="preserve">Náklady spojené s dohledem v prostorách a místech, ve kterých bylo prováděno svařování a řezání - dohled bude prováděn minimálně po dobu 8 hodin od ukončení prací (ČSN 050601) </t>
  </si>
  <si>
    <t>Náklady na součinnost při kolaudaci v rámci plánované etapizace výstavby</t>
  </si>
  <si>
    <t>VRN5</t>
  </si>
  <si>
    <t>Finanční náklady</t>
  </si>
  <si>
    <t>VRN6</t>
  </si>
  <si>
    <t>Provozní vlivy</t>
  </si>
  <si>
    <t>VRN7</t>
  </si>
  <si>
    <t>Ostatní náklady</t>
  </si>
  <si>
    <t>Ostatní materiály, práce, dodávky, služby a výkony jinde neuvedené</t>
  </si>
  <si>
    <t xml:space="preserve"> - Ostatní materiály, práce, dodávky, služby, ztížené výrobní podmínky související s umístěním stavby a výkony neuvedené v položkových soupisech jednotlivých částí zakázky, potřebné k provedení, dokončení a předání bezvadného díla (jedná se o veškeré samostatně nerozpočtované práce, materiály, výkony, služby a konstrukce), vyplývající ze smlouvy o dílo, dotačního titulu, projektové dokumentace nebo správních rozhodnutí a dokladů shromážděných v dokladové části projektu či jinde. Součástí této položky je i doprava pracovníků na staveniště. Dále sem patří veškeré samostatně nerozpočtované práce a dodávky (dodavatel je povinen provést kontrolu a případnou opravu soupisu prací v rámci podání nabídky na stavební práce). </t>
  </si>
  <si>
    <t xml:space="preserve">Zabezpečení stávajících zařízení a vybavení   </t>
  </si>
  <si>
    <t>Náklady spojené s povinným pojištěním dodavatele dle požadavku objednatele, náklady na požadovanou bankovní záruku za splnění závazku provést dílo-stavbu, je-li tato bankovní záruka pořadována v zadavacích či jiných podmínkách a dokumentech, jež jsou součástí zadavací dokumentace.</t>
  </si>
  <si>
    <t>Náklady na předání dokladové části  o vlastnostech materiálů, o provedených zkouškách a měření, o výchozích kontrolách provozuschopnosti,  o zaškolení obsluhy, revizní zprávy s výsledkem-bez závad, doklady o oprávnění k provádění prací, doklady o likvidaci odpadů, návody k obsluze, kopie záručních listů   - 2x tištěně a 1x v elektronické podobě</t>
  </si>
  <si>
    <t>Vedlejší rozpočtové náklady (VRN)</t>
  </si>
  <si>
    <t>Rozdělení podle investic a oprav (bez VRN a DPH)</t>
  </si>
  <si>
    <t>Rozdělení podle investic a oprav vč. VRN bez DPH</t>
  </si>
  <si>
    <t>Rozdělení VRN podle investic a oprav</t>
  </si>
  <si>
    <t>28349014_P</t>
  </si>
  <si>
    <t>28349060_P</t>
  </si>
  <si>
    <t>346971152R00_P</t>
  </si>
  <si>
    <t>342264101R00</t>
  </si>
  <si>
    <t>342264513R00_P</t>
  </si>
  <si>
    <t>781147P001</t>
  </si>
  <si>
    <t>781147P002</t>
  </si>
  <si>
    <t>781147P004</t>
  </si>
  <si>
    <t>781497132R00_P</t>
  </si>
  <si>
    <t>781497121R00_P</t>
  </si>
  <si>
    <t>Hydroizolační stěrka dvouvrstvá, pod obklady</t>
  </si>
  <si>
    <t>https://www.dek.cz/produkty/detail/1640140505-weber-akryzol-hydroizolacni-hmota-15kg?tab_id=popis</t>
  </si>
  <si>
    <t>585811012_P</t>
  </si>
  <si>
    <t>23152419_P</t>
  </si>
  <si>
    <t>61581624.A_P</t>
  </si>
  <si>
    <t>615290744_P</t>
  </si>
  <si>
    <t>54112115_P</t>
  </si>
  <si>
    <t>728414611R00_P</t>
  </si>
  <si>
    <t>53821107_P</t>
  </si>
  <si>
    <t>781147P005</t>
  </si>
  <si>
    <t>781147P007</t>
  </si>
  <si>
    <t>23152401_P</t>
  </si>
  <si>
    <t>5537000213_P</t>
  </si>
  <si>
    <t>551620220_P</t>
  </si>
  <si>
    <t>551620214_P</t>
  </si>
  <si>
    <t>551620240_P</t>
  </si>
  <si>
    <t>55145015_P</t>
  </si>
  <si>
    <t>55145001_P</t>
  </si>
  <si>
    <t>55145009_P</t>
  </si>
  <si>
    <t>642938111_P</t>
  </si>
  <si>
    <t>55484470.A_P</t>
  </si>
  <si>
    <t>55231355_P</t>
  </si>
  <si>
    <t>725014163R00_P</t>
  </si>
  <si>
    <t>725860184RT1</t>
  </si>
  <si>
    <t>725810402R00</t>
  </si>
  <si>
    <t>Montáž ventilátoru radiál.  na potrub. do 0,07 m2</t>
  </si>
  <si>
    <t>42911714_P</t>
  </si>
  <si>
    <t>Ukončovací výfuková hlavice, včetně propojovacích prvků</t>
  </si>
  <si>
    <t>55348430.A_P</t>
  </si>
  <si>
    <t>220711301R00_P</t>
  </si>
  <si>
    <t>Autonomní hlásič kouře, vč. montáže</t>
  </si>
  <si>
    <t xml:space="preserve">Provedení revize plynovodu </t>
  </si>
  <si>
    <t>723190909R00_P</t>
  </si>
  <si>
    <t>Přípojka k plynoměru</t>
  </si>
  <si>
    <t>723160204R00</t>
  </si>
  <si>
    <t>723160334R00</t>
  </si>
  <si>
    <t>Rozpěrka přípojky plynoměru G 1</t>
  </si>
  <si>
    <t>220261662R00_P</t>
  </si>
  <si>
    <t>723160804R00</t>
  </si>
  <si>
    <t>5534338499_P</t>
  </si>
  <si>
    <t>28349062_P</t>
  </si>
  <si>
    <t>762521811R00_P</t>
  </si>
  <si>
    <t>24612230_P</t>
  </si>
  <si>
    <t>Přemístění vodoměru a uzávěru vody a úpravy potrubí</t>
  </si>
  <si>
    <t>762900065RA0</t>
  </si>
  <si>
    <t>Demontáž dřevotřískových podlah</t>
  </si>
  <si>
    <t xml:space="preserve">Průzkumné práce - průzkum stávající dřevěné podlahy - pásová sonda podél vnější nosné stěny a v místech stávající koupelny </t>
  </si>
  <si>
    <t>Přizdívka z tvárnic porobet. tl. 50 mm hlad. tvárnice 600 x 250 x 50 mm, P 4 - 600, vč. spražení se zděnou stěnou (navrtané trny nebo pásovina do každé třetí spáry po cca 1,0 m</t>
  </si>
  <si>
    <t>Odstranění stávajících maleb oškrábáním (STĚNY) H do 3,8m, mimo přizdívky a pohledy.</t>
  </si>
  <si>
    <t>612421311R00</t>
  </si>
  <si>
    <t>Oprava vápen.omítek stěn do 30 % pl. - hrubých</t>
  </si>
  <si>
    <t>D2-D</t>
  </si>
  <si>
    <t>D3-D</t>
  </si>
  <si>
    <t>D4-D</t>
  </si>
  <si>
    <t>D5-D</t>
  </si>
  <si>
    <t>Bezpečnostní kování a zámek</t>
  </si>
  <si>
    <t>549146430_P</t>
  </si>
  <si>
    <t>642940012RA0_P</t>
  </si>
  <si>
    <t>642940014RA0_P</t>
  </si>
  <si>
    <t>Základní nátěr ocelového nosníku</t>
  </si>
  <si>
    <t>Základní nátěr na ocel</t>
  </si>
  <si>
    <t>24626035_P</t>
  </si>
  <si>
    <t>KDI1-M</t>
  </si>
  <si>
    <t>KDI1-D</t>
  </si>
  <si>
    <t>Deska EPS 150, tl.20mm, (500x1000mm)</t>
  </si>
  <si>
    <t>KD(I)1,2,DP1,PV1</t>
  </si>
  <si>
    <t>721170955R00_P</t>
  </si>
  <si>
    <t>721176103R00_P</t>
  </si>
  <si>
    <t>721176104R00_P</t>
  </si>
  <si>
    <t>721176105R00_P</t>
  </si>
  <si>
    <t>721290111R00</t>
  </si>
  <si>
    <t>725850145R00_P</t>
  </si>
  <si>
    <t>64213637_P1</t>
  </si>
  <si>
    <t>725849201R00</t>
  </si>
  <si>
    <t>Montáž baterií sprchových, pevná výška</t>
  </si>
  <si>
    <t>210020921R00</t>
  </si>
  <si>
    <t>311271170R00_P</t>
  </si>
  <si>
    <t xml:space="preserve"> - Zabezpečení stávajících zařízení a vybavení proti mechanickému poškození, prachu,zatečení (při opravách a rekonstrukcích) - položka zahrnuje každodenní zabezpečování objektu (po dobu trvání stavby) proti zatečení zakrýváním úřinným způsobem, pokud vlivem špatného zabezpečení stavby dojde ke škodám na budově, budou tyto škody zhotovitelem odstraněny na jeho náklady neprodleně (a zároveň nejpozději před předáním stavby investorovi)
- Náklady na kompletační činnost včetně denních úklidů staveniště a závěrečného úklidu</t>
  </si>
  <si>
    <t>776511810RT2</t>
  </si>
  <si>
    <t>Odstranění PVC a koberců lepených bez podložky z ploch 10 - 20 m2</t>
  </si>
  <si>
    <t>342012221RT2</t>
  </si>
  <si>
    <t>342091142R00_P</t>
  </si>
  <si>
    <t>Příplatek za rozteč 400 mm (keramický obklad) u profilů R-CW 75</t>
  </si>
  <si>
    <t>https://www.vodateplo.cz/korado-koralux-koupelnove-teleso-linear-max-er---klmer-900450-bile-klm-090045-00r10</t>
  </si>
  <si>
    <t>632412140RT3_P</t>
  </si>
  <si>
    <t>970031060R00</t>
  </si>
  <si>
    <t>965042141RT3</t>
  </si>
  <si>
    <t>Bourání mazanin betonových tl. 10 cm, nad 4 m2, pneumat. kladivo, tl. mazaniny 5 - 8 cm</t>
  </si>
  <si>
    <t>Zpětná úprava podlahy po chemickém ošetření zhlaví nosných stropních trámů (Záklop z hrubých prken na sraz tl. 24 mm)</t>
  </si>
  <si>
    <t>631582111R00_P</t>
  </si>
  <si>
    <t>Minerální vata (19,5kg/m3) podhledu tl. 40mm</t>
  </si>
  <si>
    <t>Penetrace podkladu v místech vyrovnání plochy v místech obkladů</t>
  </si>
  <si>
    <t xml:space="preserve">Omítka vnitřních stěn vápenocem. Jednovrstvá do tl. 15 mm,  pro vyrovnání rovinnosti stávajícíh stěn v místě obkladů </t>
  </si>
  <si>
    <t>784496500R00_P1</t>
  </si>
  <si>
    <t>611481211RT2</t>
  </si>
  <si>
    <t xml:space="preserve">Montáž výztužné sítě (perlinky) do stěrky-stropy (nadpraží) včetně výztužné sítě, stěrkového tmelu </t>
  </si>
  <si>
    <t>Malba stěny a ostění</t>
  </si>
  <si>
    <t>317941121R00_P</t>
  </si>
  <si>
    <t>Osazení ocelových válcovaných nosníků do č.12</t>
  </si>
  <si>
    <t>Potrubí z měděných plyn.trubek D 18 x 1,0 mm (DN 15), dle ČSN EN 1057, montáž pájením</t>
  </si>
  <si>
    <t>Potrubí z měděných plyn.trubek D 22 x 1,0 mm (DN 20), dle ČSN EN 1057,  montáž pájením</t>
  </si>
  <si>
    <t xml:space="preserve">Montáž výztužné sítě (perlinky) do stěrky - vnit.stěny, ostění včetně výztužné sítě, stěrkového tmelu </t>
  </si>
  <si>
    <t>309.1 =  8,54*2,9-0,86*2,05-0,7*1,97-0,8*1,97-0,91*1,92+2*1,92*0,35</t>
  </si>
  <si>
    <t>309.2 = 14,82*2,85-0,8*1,97-1,255*1,92-0,8*1,97-(2,49+1,08)*2,85+2*1,92*0,35</t>
  </si>
  <si>
    <t>309.3 = 18,63*2,85-1,405*1,92-0,8*1,97+2*1,92*0,35</t>
  </si>
  <si>
    <t>309.4 =  4,62*2,45-0,7*1,97+0,1*(1,2+0,3+1,2)</t>
  </si>
  <si>
    <t>Vrtání jádrové do zdiva cihelného do D 60 mm  (plyn, voda, kanal)</t>
  </si>
  <si>
    <t>Zpětný násypů škvárou o ploše nad 2 m2, tl. cca 35mm</t>
  </si>
  <si>
    <t>776521200RT1_P</t>
  </si>
  <si>
    <t>DP1</t>
  </si>
  <si>
    <t>Položení podlah lamelových se zámkovým spojem</t>
  </si>
  <si>
    <t>775541600R00</t>
  </si>
  <si>
    <t>Přírážka za plošné lepení k podkladu, vč. lepidla a penetrace</t>
  </si>
  <si>
    <t>61151391_P</t>
  </si>
  <si>
    <t>Podlahy lamelové - dřevo, specifikace dle PD, vč. prořezu 10%</t>
  </si>
  <si>
    <t>775413040R00</t>
  </si>
  <si>
    <t>SOK2-M</t>
  </si>
  <si>
    <t>Montáž dřevěné soklové podlahové lišty lepením</t>
  </si>
  <si>
    <t>61413711_P</t>
  </si>
  <si>
    <t>SOK2-D</t>
  </si>
  <si>
    <t>Podlahová lišta dle specifikace v PD vč. prořezu 10%</t>
  </si>
  <si>
    <t>648991113RT4</t>
  </si>
  <si>
    <t>Osazení parapet.desek plast. a lamin. š.nad 20cm, včetně dodávky plastové parapetní desky š. 350 mm</t>
  </si>
  <si>
    <t>712990812RT1</t>
  </si>
  <si>
    <t>Odstranění násypu nebo nánosu tl. 3 - 5 cm, z ploch jednotlivě do 10 m2</t>
  </si>
  <si>
    <t>VZT potrubí spirro kruhové potrubí 80mm včetně spojek a upevňovacích spon a kotvení</t>
  </si>
  <si>
    <t>Dveře dřevěné vnitřní , prosklené (pískované), 1křídlové 800x1970mm dle specifikace v PD</t>
  </si>
  <si>
    <t>Dveře dřevěné vnitřní 1křídlové 800x1970mm dle specifikace v PD</t>
  </si>
  <si>
    <t>Dveře dřevěné vnitřní 1křídlové 700x1970mm podříznuté dle specifikace v PD</t>
  </si>
  <si>
    <t>Dveře dřevěné vstupní 1křídlové 860x2050 cm, s požární odlností EI30DP3, včetně obložkové zárubně (replika) fládrované, dle specifikace v PD</t>
  </si>
  <si>
    <t>416021128R00_P</t>
  </si>
  <si>
    <t>416021125R00_P</t>
  </si>
  <si>
    <t>Montáž SDK podhledu jednoduše opláštěného na samonosný rošt s parotěsnou zábranou, vč dodávky nosných profilů  tmelení, broušení a zatmelení návazností na zděné stěny (akrylátovým tmelem), SDK desky tl. 15mm</t>
  </si>
  <si>
    <t>Montáž SDK podhledu jednoduše opláštěného na samonosný rošt, vč dodávky nosných profilů  tmelení, broušení a zatmelení návazností na zděné stěny (akrylátovým tmelem), SDK desky tl. 15mm</t>
  </si>
  <si>
    <t xml:space="preserve"> - s účastí zhotovitele na předání a převzetí staveniště
 - náklady na vyhotovení návrhu dočasného dopravního značení a zvláštního užívání komunikace, vč. projednání, odsouhlasení s dotčenými orgány a organizacemi a zajištění správních rozhodnutí, dodání dopravních značek a světelné signalizace, jejich rozmístění a přemísťování a jejich údržba v průběhu výstavby včetně následného odstranění, poplatky za správní řízení, splnění podmínek správních rozhodnutí a orgánu DOSS.  
 - Bezpečnostní a hygienická opatření na staveništi, náklady na ochranu staveniště před vstupem nepovolaných osob, včetně příslušného značení, náklady na ohraničení staveniště či na jeho osvětlení, náklady na vypracování potřebné dokumentace pro provoz staveniště z hlediska požární ochrany (požární řád a poplachová směrnice) a z hlediska provozu staveniště (provozně dopravní řád)
 - náklady na koordinaci s dalšími zhotoviteli </t>
  </si>
  <si>
    <t xml:space="preserve">Uskladnění vstupních dveří vč. obložky pro výrobu repliky </t>
  </si>
  <si>
    <t>Vrtání jádrové do zdiva cihelného do D 160 mm (VZT, kanal, úprava odkouření na fasádu)</t>
  </si>
  <si>
    <t xml:space="preserve">Chemickém ošetření zhlaví nosných stropních trámů </t>
  </si>
  <si>
    <t>Zdivo nosné cihelné z CP 29 P25 na SMS 2,5 MPa, bez omítky, tl.60 cm</t>
  </si>
  <si>
    <t>311231124RT3_P</t>
  </si>
  <si>
    <t>Drobné dozdívky z plné cihly původních prostupů (sopouchy, potrubí, zazdívky otvorů)</t>
  </si>
  <si>
    <t>Příčka z SDK s jednoduchým opláštěním, tl.100mm, vč. akustické izolace tl.60mm (40kg/m3), dodávky nosných profilů CW 75, tmelení, broušení a zatmelení návazností na zděné stěny (akrylátovým tmelem), dle specifikace v PD</t>
  </si>
  <si>
    <t>Obkládání stěn vnitř.keram. do tmele do 300x600 mm, položka obsahuje lepící a spárovací tmel (kuchyň)</t>
  </si>
  <si>
    <t>781475120RT1</t>
  </si>
  <si>
    <t>Keramický obklad 300/600/10mm dle specifikace v PD, vč. prořezu 10% (kuchyň)</t>
  </si>
  <si>
    <t>https://www.siko.cz/obklad-rako-extra-tmave-seda-30x60-cm-mat-wadv4724-1/p/WADV4724.1</t>
  </si>
  <si>
    <t>Úhelník nerovnoramenný L jakost S235 50x50x6 mm</t>
  </si>
  <si>
    <t>771575113RT1_P</t>
  </si>
  <si>
    <t>Případné dobetonování popř. požární utěsnění prostupů stoupaček vody, kanalizace průměru  110-60 mm, bude účtováno dle skutečnosti</t>
  </si>
  <si>
    <t>Úprava komínové hlavy, střešní krytiny, manžeta protidešťová (náklady by měly být přeúčtovány SVJ)</t>
  </si>
  <si>
    <t>komunikační zásuvka PC (zásuvka,maska,kryt - v rovině stěny)</t>
  </si>
  <si>
    <t>https://www.hezkakoupelna.cz/sprchove-dvere-melody-b5-90-jednokridle-s-pevnou-stenou-99-92-x-195-cm</t>
  </si>
  <si>
    <t>Sprchové dveře jednokřídlové s pevnou stěnou na straně topení, v lesklém chromu a výplní z čirého bezpečnostního skla tl. 6,0mm, rozměr 890-920x1950</t>
  </si>
  <si>
    <t>Obkládání stěn vnitř.keram. do tmele 450x450mm, položka obsahuje lepící a spárovací tmel</t>
  </si>
  <si>
    <t>Ucpávka protipožární, průchod stěnou u vstupu do b.j.</t>
  </si>
  <si>
    <r>
      <rPr>
        <sz val="10"/>
        <rFont val="Arial CE"/>
        <family val="0"/>
      </rPr>
      <t xml:space="preserve">Zpracovatel: </t>
    </r>
    <r>
      <rPr>
        <sz val="14"/>
        <rFont val="Arial CE"/>
        <family val="2"/>
      </rPr>
      <t>Atelier PHA s.r.o., Gabčíková 15,  Praha 8, 182 00</t>
    </r>
  </si>
  <si>
    <t xml:space="preserve">                 </t>
  </si>
  <si>
    <t>Soupis prací je sestaven s využitím Cenové soustavy RTS v cenové hladině 2020/jaro</t>
  </si>
  <si>
    <r>
      <rPr>
        <sz val="10"/>
        <rFont val="Arial CE"/>
        <family val="0"/>
      </rPr>
      <t>Datum zpracování/revize</t>
    </r>
    <r>
      <rPr>
        <sz val="14"/>
        <rFont val="Arial CE"/>
        <family val="0"/>
      </rPr>
      <t>: 8.9.2020/R00</t>
    </r>
  </si>
  <si>
    <t>domácí telefon (demontáž a zpětná montáž stávajícího DT)</t>
  </si>
  <si>
    <t xml:space="preserve"> - Vybudování zařízení staveniště - náklady na zřízení přípojek energií, vybudování případných měřících odběrných míst a vlastní vybudování objektů zařízení staveniště vč. soc. zázemí
 - Provoz zařízení staveniště -  náklady na energie spotřebované dodavatelem v rámci provozu zařízení staveniště, náklady na potřebný úklid v prostorách zařízení staveniště, náklady na nutnou údržbu a opravy na objektech zařízení staveniště a na přípojkách energií.
- Odstranění zařízení staveniště. Položka zahrnuje i náklady na úpravu povrchů po odstranění zařízení staveniště a úklid ploch, na kterých bylo zařízení staveniště provozováno.
 - Součástí této položky jsou standardní prvky BOZP, včetně jejich dodávky, montáže, údržby a demontáže, respektive likvidace) a plnění povinosti vyplývajících z plánu BOZP včetně připomínek příslušných úřadů. Součástí položky Zařízení staveniště je poskytnutí části zařízení staveniště pro umožnění činnosti TD, AD a SÚ za účelem konání kontrolním dnů a všech dalších svolávaných jednání (předpokládá se čistý prostor - např. stavební buňka či jiná kancelář stavby).
- uvedení plochy pro zařízení staveniště do původního stavu</t>
  </si>
  <si>
    <t>Nákladů na ztížené podmínky provádění tam, kde jsou stavební práce zcela nebo zčásti omezovány provozem jiných osob. Jedná se zejména o zvýšené náklady související s omezením provozem v objektu, náklady v důsledku nezbytného respektování stávající dopravy v okolí stavby ovlivňující stavební práce (ochrana kolem vstupů do budovy). Náklady na ztížené provádění stavebních prací v důsledku provozu budovy po dobu stavby (nutnost ochranných konstrukcí, ochranných zábradlí a hrazení, apod.). Bytový dům bude investorem užíván po celou dobu stavby ke svému obvyklému účelu a náklady s tím spojené jsou součástí této položky.</t>
  </si>
  <si>
    <t>722181213RT7_P</t>
  </si>
  <si>
    <t>722181214RT7_P</t>
  </si>
  <si>
    <t>722202213R00_P</t>
  </si>
  <si>
    <t>722202221R00_P</t>
  </si>
  <si>
    <t>722190401R00</t>
  </si>
  <si>
    <t>Vyvedení a upevnění výpustek DN 15</t>
  </si>
  <si>
    <t>Stavební úpravy bytové jednotky č.9, Na Neklance 1299/30, 150 00 Praha 5</t>
  </si>
  <si>
    <t>968062455R00</t>
  </si>
  <si>
    <t>Vybourání dřevěných dveřních zárubní pl. do 2 m2</t>
  </si>
  <si>
    <t>968062244R00</t>
  </si>
  <si>
    <t>Vybourání dřevěných rámů oken jednoduch. pl. 1 m2</t>
  </si>
  <si>
    <t>968061112R00</t>
  </si>
  <si>
    <t>Vyvěšení dřevěných okenních křídel pl. do 1,5 m2</t>
  </si>
  <si>
    <t>962031113R00</t>
  </si>
  <si>
    <t>Bourání zděných příček z plných cihel tl. 15 cm vč. omítky</t>
  </si>
  <si>
    <t>970031130R00</t>
  </si>
  <si>
    <t>971033441R00</t>
  </si>
  <si>
    <t>Vybourání otv. zeď cihel. do pl.0,25 m2, tl.30cm, MVC (napojení na komínový průduch)</t>
  </si>
  <si>
    <t>965081713RT2</t>
  </si>
  <si>
    <t>Bourání dlažeb keramických tl.10 mm, nad 1 m2, sbíječka, dlaždice keramické</t>
  </si>
  <si>
    <t>775411810R00</t>
  </si>
  <si>
    <t>Demontáž lišt dřevěných, přibíjených</t>
  </si>
  <si>
    <t>966068102R00</t>
  </si>
  <si>
    <t>Demontáž dřevěných konstrukcí horizontál (podhled)</t>
  </si>
  <si>
    <t>762522811R00</t>
  </si>
  <si>
    <t>Demontáž podlah s polštáři z prken tl. do 32 mm</t>
  </si>
  <si>
    <t>965081813RT3</t>
  </si>
  <si>
    <t xml:space="preserve">Vybourání vrstvy cihel podlahy, tl. 65mm CP </t>
  </si>
  <si>
    <t>Vyspravení sondy podlahy 0,4/0,4m místnosti č.309.2</t>
  </si>
  <si>
    <t>chodba 0,25*2,8+0,41*0,5</t>
  </si>
  <si>
    <t>koupelna 2,39*2,4+1,2*0,93</t>
  </si>
  <si>
    <t>WC 0,4*1</t>
  </si>
  <si>
    <t>340200010RAB</t>
  </si>
  <si>
    <t xml:space="preserve">Příčka do stávajícího objektu, bez omítky, tl.15 cm, cihly plné, vysekání kapes pro zavázání  </t>
  </si>
  <si>
    <t>příčky 0,355*2,15</t>
  </si>
  <si>
    <t>příčka 0,195*2,265*0,06</t>
  </si>
  <si>
    <t>349231811RT2_P</t>
  </si>
  <si>
    <t>Přizdívka ostění z cihel, kapsy do 15 cm s použitím suché maltové směsi</t>
  </si>
  <si>
    <t>Příplatek k příčce sádrokart. za desku tl. 12,5 mm, akustická deska dle PD na obou stranách</t>
  </si>
  <si>
    <t>342263990RD2</t>
  </si>
  <si>
    <t>342090321R00</t>
  </si>
  <si>
    <t>Otvor v SDK, pro dveře 1kř do 75 kg, UA 75, 1xopl.</t>
  </si>
  <si>
    <t>342263310R00_P</t>
  </si>
  <si>
    <t>Úprava sádrokartonové příčky pro osazení skřínek kuchyňské linky</t>
  </si>
  <si>
    <t>Revizní dvířka kovová s magnety otevíravá s úchytem 300/300mm (u uzávěru vody a vodměru), včetně kotvícího materiálu</t>
  </si>
  <si>
    <t>https://www.ventilatory.cz/revizni-dvirka-kovova-s-uchytem-299x299-mm-x11136</t>
  </si>
  <si>
    <t>0,88+2,22</t>
  </si>
  <si>
    <t>3,63+9,66+18,6</t>
  </si>
  <si>
    <t>416091083R00</t>
  </si>
  <si>
    <t>Příplatek k podhledu sádrokart. za plochu 5 - 10 m2</t>
  </si>
  <si>
    <t>309.1 =  1,045*(1,065+1,46+0,265+0,95)+3,085*(1,03+1,78)-0,86*2,05-0,6*2,35+0,47*0,36*2</t>
  </si>
  <si>
    <t>309.2 = 14,82*3,05-0,85*1,97-1,255*1,92-0,85*2,045+2*0,35*1,92-0,6*3,7</t>
  </si>
  <si>
    <t>309.3 = 18,63*3,05-0,85*1,97-1,405*1,92+0,35*2*1,92</t>
  </si>
  <si>
    <t>309.4 =  4,54*2,47-0,4*1-0,6*2,035</t>
  </si>
  <si>
    <t>nadraží=1,03*0,31+0,82*0,3+1,135*0,44+0,91*0,35+1,255*0,35+1,405*0,35</t>
  </si>
  <si>
    <t>309.5 =  0,93*2,45+0,93*0,1+2,39*2,45</t>
  </si>
  <si>
    <t>309.1 =  8,54*2,9-0,86*2,05-0,7*1,97-0,8*1,97-0,91*1,92</t>
  </si>
  <si>
    <t>309.2 = 14,82*2,85-0,8*1,97-1,255*1,92-0,8*1,97-(2,49+1,08)*2,85-0,6*(1,9+0,62+1,08)</t>
  </si>
  <si>
    <t>309.3 = 18,63*2,85-1,405*1,92-0,8*1,97</t>
  </si>
  <si>
    <t>309.4 =  0</t>
  </si>
  <si>
    <t>309.5 =  0</t>
  </si>
  <si>
    <t>309.1 = 1,03*0,31+0,91*0,35</t>
  </si>
  <si>
    <t>309.2 = 1,255*0,35</t>
  </si>
  <si>
    <t>309.3 = 0,44*0,91+1,405*0,35</t>
  </si>
  <si>
    <t>309.4 = 0,3*0,82</t>
  </si>
  <si>
    <t>309.5 = 0</t>
  </si>
  <si>
    <t>309.1 =  2,9+2*1,92+0,91+1,03</t>
  </si>
  <si>
    <t>309.2 = 1,255+2*1,92</t>
  </si>
  <si>
    <t>309.3 = 2*2,265+0,91+2*1,92+1,405</t>
  </si>
  <si>
    <t>309.4 = 0,82</t>
  </si>
  <si>
    <t>309.1 = 2*1,92*0,35</t>
  </si>
  <si>
    <t>309.2 = 2*1,92*0,35</t>
  </si>
  <si>
    <t>309.3 = 2*1,92*0,35</t>
  </si>
  <si>
    <t>309.4 = 0</t>
  </si>
  <si>
    <t>309.1 =  0,91+1,92*2+(0,9+2,02*2)+(0,8+2,02*2)+(0,96+2*2,15)</t>
  </si>
  <si>
    <t>309.2 = 1,255+1,92*2+2*(0,9+2,02*2)</t>
  </si>
  <si>
    <t>309.3 = 1,405+1,92*2+(0,9+2,02*2)</t>
  </si>
  <si>
    <t>309.4 =  6,59*2,4-0,735*1,993+0,05*0,93</t>
  </si>
  <si>
    <t>309.5 =  4,62*2,4-0,8*2,02+0,1*(1,2+0,3+1,2)</t>
  </si>
  <si>
    <t>Keramický obklad 450/450/10mm - DEKOR, dle specifikace v PD, vč. prořezu 10% (koupelna, WC)</t>
  </si>
  <si>
    <t>Keramický obklad 150/150/6mm dle specifikace v PD, vč. prořezu 10% (koupelna, WC)</t>
  </si>
  <si>
    <t>https://www.keramikasoukup.cz/obklady-a-dlazby-designova-retro-dlazba-fs-4</t>
  </si>
  <si>
    <t>https://www.keramikasoukup.cz/obklady-a-dlazby/leskly-obklad-white-15-x-15-cm-bila-waa19000</t>
  </si>
  <si>
    <t>Nerezová (kartáčovaná) ukončovací lišta (kuchyň), profilu L10mm, L=3m</t>
  </si>
  <si>
    <t>Al ukončovací lišta (přírodní) profilu L10mm (rohy,přizdívky,výklenek), L=3m</t>
  </si>
  <si>
    <t>D2-4-M</t>
  </si>
  <si>
    <t>Montáž dveří, oc. zárubeň, kyvné 1kř. š. do 1 m</t>
  </si>
  <si>
    <t>766664121R00</t>
  </si>
  <si>
    <t>642941210R00</t>
  </si>
  <si>
    <t>Osazení pouzdra pro posuv. dveře jednostr., do SDK</t>
  </si>
  <si>
    <t xml:space="preserve">ks </t>
  </si>
  <si>
    <t>766666112R00</t>
  </si>
  <si>
    <t>Montáž dveří posuvných, osazení závěsu, 1kř.</t>
  </si>
  <si>
    <t xml:space="preserve"> - mušle pro zamykámí pro wc (chrom)</t>
  </si>
  <si>
    <t xml:space="preserve"> - zpomalovač pro posuvné dveře (šedý)</t>
  </si>
  <si>
    <t xml:space="preserve"> - zapuštěná mřížka stříbrná 2x</t>
  </si>
  <si>
    <t>stavební pouzdro do sdk pro dveře 700 mm, výšky 1970 mm pro bezobložkové provedení</t>
  </si>
  <si>
    <t>https://www.m-eclisse.cz/eclisse-syntesis-line/eclisse-syntesis-line-800-1970-do-sdk/</t>
  </si>
  <si>
    <t>D5-M</t>
  </si>
  <si>
    <t>https://www.truhlarstvipohan.cz/dvere-silvie/</t>
  </si>
  <si>
    <t>Montáž kliky a štítku</t>
  </si>
  <si>
    <t>Montáž mušle do posuvných dveří</t>
  </si>
  <si>
    <t>766670021R00</t>
  </si>
  <si>
    <t>Práh dřevěný d. 860 mm, š.250mm, vč. povrchové úpravy a kotvení</t>
  </si>
  <si>
    <t>924952311R00_P</t>
  </si>
  <si>
    <t xml:space="preserve">Deska sklokeramická, dvouplotýnka ref. výrobek BEKO HDMC 32400 TX vč. montáže </t>
  </si>
  <si>
    <t>Vestavná el. trouba ref. výrobek MORA VT 433 BX, vč. montáže</t>
  </si>
  <si>
    <t>Vestavná nerezová digestoř ref. Výrobek Mora OP 540 X včetně uhlíkových filtrů, vč. montáže</t>
  </si>
  <si>
    <t xml:space="preserve">Galerka s LED osvětlením, 60x60x14cm, bíla, ref. výrobek AQUALINE - ZOJA/KERAMIA FRESH </t>
  </si>
  <si>
    <t>https://www.e-beko.cz/cs/beko-varna-deska-hdmc-32400-tx</t>
  </si>
  <si>
    <t>https://www.datart.cz/odsavac-par-mora-op-540-x.html?gclid=EAIaIQobChMI-8ahk5jZ6QIVF53VCh08KAzZEAQYAiABEgJ4iPD_BwE</t>
  </si>
  <si>
    <t>https://www.livero.cz/material-drevo/zoja-keramia-fresh-galerka-s-led-osvetlenim--60x60x14cm--bila--leva/?gclid=EAIaIQobChMI-6uI1ZLg6QIVW-ztCh23rAnYEAQYASABEgKWVfD_BwE</t>
  </si>
  <si>
    <t xml:space="preserve">Osazení ocelové zárubně dodatečně do 2,5m2, včetně kotvících prvků, </t>
  </si>
  <si>
    <t>Zárubeň ocelová 800/1970mm do hotového otvoru, ústí do 150mm (bez omítek), dle specifikace v PD, včetně těsnění a povrchové úpravy (pro dveře D2,D3)</t>
  </si>
  <si>
    <t>https://www.hse-dvere-zarubne.cz/data1/download_dok/cenik_zarubne.pdf</t>
  </si>
  <si>
    <t>Zárubeň ocelová 700/1970mm do hotového otvoru, ústí do 100mm (bez omítek) dle specifikace v PD, včetně těsnění a povrchové úpravy (pro dveře D4)</t>
  </si>
  <si>
    <t>https://online.ferona.cz/detail/22304/profil-rovnoramenny-l-z-konstrukcni-oceli-valcovane-za-tepla-en-10056-l-50x50x4</t>
  </si>
  <si>
    <t>KD(I)1,PV1-M</t>
  </si>
  <si>
    <t>Pokládka a srovnání 1 vrstvy sypkého materiálu (písek fr. 0,1-0,4mm) do tl. 20mm</t>
  </si>
  <si>
    <t>https://www.miroslavsmid.cz/ceniky/cenik-sypkych-materialu</t>
  </si>
  <si>
    <t>309.1 = 4</t>
  </si>
  <si>
    <t>309.2 = 9,7</t>
  </si>
  <si>
    <t>309.3 = 19,2</t>
  </si>
  <si>
    <t>309.4 = 1,2</t>
  </si>
  <si>
    <t>309.5 = 2,3</t>
  </si>
  <si>
    <t>Písek křemičitý,  fr. 0,1-0,4mm</t>
  </si>
  <si>
    <t>KD(I)1,PV1-D</t>
  </si>
  <si>
    <t>Montáž podlah keram.,režné hladké, včetně lepícího tmelu, 205/615cm</t>
  </si>
  <si>
    <r>
      <t>Keramická dlažba 205/615mm dle specifikace</t>
    </r>
    <r>
      <rPr>
        <i/>
        <sz val="10"/>
        <color indexed="40"/>
        <rFont val="Arial"/>
        <family val="2"/>
      </rPr>
      <t xml:space="preserve"> </t>
    </r>
    <r>
      <rPr>
        <i/>
        <sz val="10"/>
        <color indexed="49"/>
        <rFont val="Arial"/>
        <family val="2"/>
      </rPr>
      <t>v PD vč. prořezu 10%, včetně lepícího tmelu</t>
    </r>
  </si>
  <si>
    <t>https://www.keramikasoukup.cz/obklady-a-dlazby-interierova-dlazba-imitace-dreva-tarima-roble</t>
  </si>
  <si>
    <t>725820801R00</t>
  </si>
  <si>
    <t>Demontáž baterie nástěnné do G 3/4</t>
  </si>
  <si>
    <t>725220851R00</t>
  </si>
  <si>
    <t>Demontáž van včetně vybourání obezdezdívky</t>
  </si>
  <si>
    <t>725290020RA0</t>
  </si>
  <si>
    <t>Demontáž umyvadla včetně baterie a konzol</t>
  </si>
  <si>
    <t>vsazení odbočky na litinovém potrubí (REZERVA) DN 75 (HT,  DN75/75/67°) napojená na PVC potrubí</t>
  </si>
  <si>
    <t>Vyvedení odpadních výpustek D 32 x 1,8 (pro umyvadlo, pračku)</t>
  </si>
  <si>
    <t>Vodní zápachová uzávěrka DN32 pro odvod kondenzátu (boiler) s přídavnou mechanickou zápachovou uzávěrkou (kulička), podomítkové provedení. (ref. v. H138)</t>
  </si>
  <si>
    <t>Kulový kohout s vypouštěním, chromovaný 1/2" (přívod SV k boileru)</t>
  </si>
  <si>
    <t>Kulový kohout, chromovaný 1/2" (přívod TV k boileru)</t>
  </si>
  <si>
    <t>Vanička sprchová čtvercová 900x900/30 mm litý mramor vč. sifonu - specifikace dle PD</t>
  </si>
  <si>
    <t>https://www.siko.cz/sprchova-vanicka-ctvercova-ravak-chrome-90x90-cm-lity-mramor-xa047701010/p/PER90PROCHROM0</t>
  </si>
  <si>
    <t>https://www.jika.cz/katalog/produkty/klozety/stojici-klozet/lyra-plus-066-09.0L27/samostatne-stojici-klozet-hluboke-splachovani-svisly-odpad-821387</t>
  </si>
  <si>
    <t>https://www.hydrostop.cz/eshop/usporny-wc-splachovac-s-umyvadlem-aquadue-grandesys/pro121.html</t>
  </si>
  <si>
    <t>Kombi klozet s hlubokým splachováním odpad svislý,vč integrovaného umyvátka s baterií, vč. sedátka a připojovací tlakové hadice - specifikace dle PD</t>
  </si>
  <si>
    <t>Montáž klozetových mís kombinovaných</t>
  </si>
  <si>
    <t>725119305R00</t>
  </si>
  <si>
    <t>725539103R00</t>
  </si>
  <si>
    <t>Montáž elektr.ohřívačů, zásovníkových do 125 l</t>
  </si>
  <si>
    <t>728114111R00</t>
  </si>
  <si>
    <t>Montáž potrubí plastového kruhového do d 100 mm</t>
  </si>
  <si>
    <t>Redukce z 120/100mm</t>
  </si>
  <si>
    <t>342270040RAB_P</t>
  </si>
  <si>
    <t>342270042RAA_P</t>
  </si>
  <si>
    <t>Nerezová hadice FLEX, stěna 2x 0,12mm, DN120</t>
  </si>
  <si>
    <t>Vložkování komínového průduchu potrubím Ø 120 mm</t>
  </si>
  <si>
    <t>Plastový talířový ventil Ø 100mm</t>
  </si>
  <si>
    <t>Montáž mřížky větrací nebo ventilační do d 100 mm</t>
  </si>
  <si>
    <t>728415121R00</t>
  </si>
  <si>
    <t>https://www.ventilatory.net/it-100.html</t>
  </si>
  <si>
    <t>Potrubí plastové kulaté VP 100/1000 KP</t>
  </si>
  <si>
    <t>Spojka potrubí kruhová VP 100 KS</t>
  </si>
  <si>
    <t>Montážní rámeček kruhový VP 100 KMR</t>
  </si>
  <si>
    <t>Zpětná klapka do potrubí 100mm</t>
  </si>
  <si>
    <t>Nerezový T kus vč. víčka - úprava na sběr kondenzátu  Ø 120 mm</t>
  </si>
  <si>
    <t>Radiální ventilátor pro horizontální montáž dle spec. ve TZ</t>
  </si>
  <si>
    <t>https://www.ventilatory-shop.cz/produkt/ventilator-vortice-quadro-super-i-t</t>
  </si>
  <si>
    <t>Elektrický topný žebřík vč. regulátoru teploty, 300W, 450/30/960mm</t>
  </si>
  <si>
    <t>Elektrický nástěnný přímotop, 500W</t>
  </si>
  <si>
    <t>https://www.abc-topeni.cz/fenix-elektricky-primotop-atlantic-f129-d-05--500-w/</t>
  </si>
  <si>
    <t>Montáž otopných těles a koupelnových těles (žebříků)</t>
  </si>
  <si>
    <t>723260801R00</t>
  </si>
  <si>
    <t>Demontáž (odhlášení) stávajícího plynoměru</t>
  </si>
  <si>
    <t>723190914R00</t>
  </si>
  <si>
    <t>Navaření odbočky na plynové potrubí DN 25</t>
  </si>
  <si>
    <t>Plynové topidlo 4,7kW, specifikace dle PD</t>
  </si>
  <si>
    <t>Plynové topidlo 2,5kW, specifikace dle PD</t>
  </si>
  <si>
    <t>Nespalná podlaha u plynového topidla, ocelový plech 300/1000mm a 300/500mm, tl.2,0mm, nátěr tmavě šedá, zkosené rohy</t>
  </si>
  <si>
    <t>Demontáž nefunkčního plynového potrubí před dveřmi na schodišti</t>
  </si>
  <si>
    <t>722130801R00_P</t>
  </si>
  <si>
    <t>723190251R00</t>
  </si>
  <si>
    <t>Vyvedení a upevnění plynovodních výpustek DN 15</t>
  </si>
  <si>
    <t>725659102R00</t>
  </si>
  <si>
    <t>Montáž těles otopných plyn., odtah.stěna, 1 otvor</t>
  </si>
  <si>
    <t>484566217_P2</t>
  </si>
  <si>
    <t>484566217_P1</t>
  </si>
  <si>
    <t>713100921R00_P</t>
  </si>
  <si>
    <t>346244313R00_P</t>
  </si>
  <si>
    <t>Podezdívka sprchové vanička (900/900mm) výšky do 150 mm  tl. 100 mm vč.provedení revizního otvoru pro obklad na silikon (návaznosti na spádové možnosti kanalizace)</t>
  </si>
  <si>
    <t>61168602.A_P</t>
  </si>
  <si>
    <t xml:space="preserve"> - základní dveře 1křídlové 850x1985mm dle specifikace v PD</t>
  </si>
  <si>
    <t>Dveře dřevěné vnitřní 1křídlové 850x1985mm dle specifikace v PD vč. příslušenství - ( mušle pro zamykámí pro wc (chrom),zpomalovač pro posuvné dveře (šedý,)zapuštěná mřížka stříbrná 2x</t>
  </si>
  <si>
    <t>61165642_P</t>
  </si>
  <si>
    <t>766670021R00_P</t>
  </si>
  <si>
    <t>767612915R00_P</t>
  </si>
  <si>
    <t>Oprava - seřízení plastového okna</t>
  </si>
  <si>
    <t>náteř příplatek 500kč</t>
  </si>
  <si>
    <t>553308403_P</t>
  </si>
  <si>
    <t>553308402_P</t>
  </si>
  <si>
    <t>642944121R00_P</t>
  </si>
  <si>
    <t>073844133R00_P</t>
  </si>
  <si>
    <t>631571008R00_P</t>
  </si>
  <si>
    <t>28650014_P</t>
  </si>
  <si>
    <t>https://www.giacomini.cz/r250d</t>
  </si>
  <si>
    <t>https://www.giacomini.cz/r250ds</t>
  </si>
  <si>
    <t>55113524.A_P</t>
  </si>
  <si>
    <t>55113530.A_P</t>
  </si>
  <si>
    <t>230040004R00</t>
  </si>
  <si>
    <t>Montáž závitových dílů DN 1/2"</t>
  </si>
  <si>
    <t>Bojler, elektrický ohřívač vody s keramickým topným tělesem, závěsný,vodorovný, 100l, déla do 1,0m, průměr - výška do 530mm</t>
  </si>
  <si>
    <t>48438695_P</t>
  </si>
  <si>
    <t>https://www.topenilevne.cz/drazice-okcev-100-p43811/</t>
  </si>
  <si>
    <t>735171344R00_P</t>
  </si>
  <si>
    <t>48456422_P</t>
  </si>
  <si>
    <t>13640710_P</t>
  </si>
  <si>
    <t>Koleno 90° kulaté VP 100-90 KO</t>
  </si>
  <si>
    <t>https://www.gumex.cz/spiro-potrubi-00115083</t>
  </si>
  <si>
    <t>42981180_P</t>
  </si>
  <si>
    <t>Oblouk segmentový 90°, d 80 mm Pz plech</t>
  </si>
  <si>
    <t>429853230_P</t>
  </si>
  <si>
    <t>https://www.moje-elektro.cz/redukce/23001-redukce-pro-kruhove-potrubi-80100120125150160-mm.html</t>
  </si>
  <si>
    <t>https://www.kominy-nerez.cz/katalog/vlozky-kominu-0-6-mm-135/prumer-120-mm-486/t-kus-90-nerez-120mm-557/</t>
  </si>
  <si>
    <t>713391112R00_P</t>
  </si>
  <si>
    <t>Návleková izolace potrubí VZT prům.80mm, MW tl.25mm</t>
  </si>
  <si>
    <t>5534315501_P</t>
  </si>
  <si>
    <t>https://www.kominexpres.cz/produkt/ohebna-kominova-vlozka-dn120-mm-tl-2x012-mm-flex-turbo/1368</t>
  </si>
  <si>
    <t>553353501_P</t>
  </si>
  <si>
    <t>relé DT4</t>
  </si>
  <si>
    <t>849_Na Neklance_1299/30_bj_9</t>
  </si>
  <si>
    <t>jen materiál</t>
  </si>
  <si>
    <t>A – svítidlo nástěnné LED, 12W, IP20</t>
  </si>
  <si>
    <t>svítidlo  pod linku bez vypínače LED 10W</t>
  </si>
  <si>
    <t>spínač č.5 - sériový</t>
  </si>
  <si>
    <t xml:space="preserve">tlačítkový ovladač </t>
  </si>
  <si>
    <t>rámeček 4x, trojrámeček</t>
  </si>
  <si>
    <t>autonomní detektor kouře</t>
  </si>
  <si>
    <t>sporáková přípojka do krabice KU</t>
  </si>
  <si>
    <t>zapojení digestoře, bojleru, ventilátoru</t>
  </si>
  <si>
    <t>rozvaděč provedení do zdi, IP30, 24 modulů</t>
  </si>
  <si>
    <t>svodič přepětí SPB -12/280/2 B+C</t>
  </si>
  <si>
    <t>proudový chránič 25/1/0,03</t>
  </si>
  <si>
    <t>proudový chránič 10/1N/0,03</t>
  </si>
  <si>
    <t>přrážka za podružný materiál</t>
  </si>
  <si>
    <t>762810010RAB_P</t>
  </si>
  <si>
    <t>725819402R00</t>
  </si>
  <si>
    <t>Montáž ventilu rohového bez trubičky G 1/2</t>
  </si>
  <si>
    <t>953802114R00_P</t>
  </si>
  <si>
    <t>968061125R00_P</t>
  </si>
  <si>
    <t xml:space="preserve">Uvedené referenční výrobky v PD a ve výkazu výměr nejsou pro zhotovitele závazné. Projektantem jsou uvedeny jako příklad vhodného produktu.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</si>
  <si>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2</t>
  </si>
  <si>
    <t>D</t>
  </si>
  <si>
    <t>M</t>
  </si>
  <si>
    <t xml:space="preserve">Jednotková cena by měla vždy, pokud není samostatně uvedeno, obsahovat dodávku a montáž příslušné položky. Technické parametry materiálů a výrobků jsou uvedeny v PD. Zhotovitel při nacenění jednotlivých položek musí zohlednit tyto technické parametry.  </t>
  </si>
  <si>
    <t>kg</t>
  </si>
  <si>
    <t>Pokud není samostaně uvedeno v jedn. cenách kalkulována svislá doprava vč. naložení na dopravní prostředek</t>
  </si>
  <si>
    <t>Pokud nejsou výrobky vyspecifikovány ve výkazu, platí specifikace uvedená v projektové dokumentaci</t>
  </si>
  <si>
    <t>Dokončovací práce</t>
  </si>
  <si>
    <t>M+D</t>
  </si>
  <si>
    <t>2a</t>
  </si>
  <si>
    <t>2b</t>
  </si>
  <si>
    <t>2c</t>
  </si>
  <si>
    <t>2d</t>
  </si>
  <si>
    <t>2e</t>
  </si>
  <si>
    <t>2f</t>
  </si>
  <si>
    <t>2g</t>
  </si>
  <si>
    <t>Konstrukce zámečnické</t>
  </si>
  <si>
    <t xml:space="preserve">Přesun hmot, doprava, režie - stanovený procentní sazbou </t>
  </si>
  <si>
    <t>Soupis stavebních prací, výkonů a služeb</t>
  </si>
  <si>
    <t>Pokud nejsou výměry uvedeny ve vzorci u jednotlivých buněk, byly změřeny z CAD výkresu</t>
  </si>
  <si>
    <t>Přesun hmot, doprava, režie - stanovený procentní sazbou</t>
  </si>
  <si>
    <t xml:space="preserve">a) náklady na veškerou svislou a vodorovnou dopravu na staveništi, náklady na dopravu materiálu na staveniště, staveništní přesun hmot a u bourání manipulaci se sutí, její odvoz a uložení na skládku do 20-ti km včetně poplatku, pokud nebudou tyto položky uvedeny dodavatelem v samostatné položce </t>
  </si>
  <si>
    <t>c)  všechny potřebné pomocné dodávky a práce pro upevnění, zabezpečení funkčnosti a finální pohledové 
úpravy, které jsou běžně součástí dodávaného výrobku nebo systému  nebo jsou předepsány projektem a 
nejsou výslovně uvedeny jako samostatné položky</t>
  </si>
  <si>
    <t>d) náklady na zakrývání (nebo jiné zajištění) konstrukcí a prací ostatních zhotovitelů nebo stávajících konstrukcí před znečištěním a poškozením a odstranění zakrytí</t>
  </si>
  <si>
    <t>f) náklady na zkoušky a atesty během výstavby, výkresy skutečného provedení a zúčtovací podklady</t>
  </si>
  <si>
    <t>g)  náklady na požadované záruky, pojištění a ostatní finanční náklady</t>
  </si>
  <si>
    <t>Stěny a příčky</t>
  </si>
  <si>
    <t>Není-li uvedeno jinak jsou položky uvažovány společně dodávka i montáž. Položky označené kódem jsou detailně popsány v tabulce skladeb konstrukcí a povrchových úprav.</t>
  </si>
  <si>
    <t>Zdravotechnika - vnitřní kanalizace</t>
  </si>
  <si>
    <t>Zdravotechnika - vnitřní vodovod</t>
  </si>
  <si>
    <t xml:space="preserve">Zdravotechnika - zařizovací předměty, armatury </t>
  </si>
  <si>
    <t>Vzduchotechnika</t>
  </si>
  <si>
    <t>Konstrukce truhlářské</t>
  </si>
  <si>
    <t>Podlahy z dlaždic</t>
  </si>
  <si>
    <t>Není-li uvedeno jinak jsou položky uvažovány společně dodávka i montáž. Součástí nacenění budou všechny systémové doplňky, kotevní a upevňovací prostředky, úpravy spár a rohů a jiný pomocný materiál specifikovaný v technických a montážních předpisech vybraného výrobce. Položky označené kódem jsou detailně popsány v tabulce skladeb konstrukcí a povrchových úprav.</t>
  </si>
  <si>
    <t>Těsnící stěrka, předpokládaná spotřeba 1,5 kg/m2</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</si>
  <si>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V ceně bude zakalkulováno pomocné lešení. Položky označené kódem jsou detailně popsány v tabulce skladeb konstrukcí a povrchových úprav.</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</si>
  <si>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Položky označené kódem jsou detailně popsány v tabulce skladeb konstrukcí a povrchových úprav.</t>
  </si>
  <si>
    <t>Zkouška těsnosti potrubí kanalizace vodou do DN 125</t>
  </si>
  <si>
    <t>Příplatek za nestandardní povrchovou úpravu Q3</t>
  </si>
  <si>
    <t>SOK1-D</t>
  </si>
  <si>
    <t>SOK1-M</t>
  </si>
  <si>
    <t>Následující kompletizované výrobky jsou detailně popsány v technických parametrech výplní otvorů (popř. ve výpisu prvků PSV), dle kterých je nutno provést ocenění. Není-li uvedeno jinak jsou položky uvažovány společně dodávka i montáž. Součástí nacenění budou všechny systémové doplňky, kotevní a upevňovací prostředky a jiný pomocný materiál uvedený v technických parametrech výplní otvorů, souboru stavebních detailů a v technických a montážních předpisech vybraného výrobce.</t>
  </si>
  <si>
    <t>Vyvěšení dřevěných dveřních křídel pl. do 2 m2</t>
  </si>
  <si>
    <t>Demontáž uzávěrek zápachových jednoduchých</t>
  </si>
  <si>
    <t>Uzávěrka zápachová pračková podomítková společná s připojovacím kolenem na vodovod, nerez krytka</t>
  </si>
  <si>
    <t>Materiál + montáž silnoproudých rozvodů celkem</t>
  </si>
  <si>
    <t>Rozvodnice RB celkem</t>
  </si>
  <si>
    <t>Různé</t>
  </si>
  <si>
    <t>Kapitola silnoproudých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</si>
  <si>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Kapitola slaboproudých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</si>
  <si>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soubor</t>
  </si>
  <si>
    <t>Demontáže VZT zařízení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 Položky vzduchotechnických výrobků jsou detailně popsány v projektové dokumentaci.</t>
  </si>
  <si>
    <t>Ventil rohový G 1/2 bez připojovací hadičky</t>
  </si>
  <si>
    <t>ELEKTROINSTALACE</t>
  </si>
  <si>
    <t>SILNOPROUD</t>
  </si>
  <si>
    <t>Položka</t>
  </si>
  <si>
    <t>Materiál + montáž</t>
  </si>
  <si>
    <t>materiál</t>
  </si>
  <si>
    <t>montáž</t>
  </si>
  <si>
    <t>B - svítidlo stropní  LED,16W, IP20</t>
  </si>
  <si>
    <t>R</t>
  </si>
  <si>
    <t>zásuvka 230V</t>
  </si>
  <si>
    <t>zásuvka 230V  s ochranou před přepětím</t>
  </si>
  <si>
    <t>spínač č.1 - jednopólový</t>
  </si>
  <si>
    <t>rámeček 1x - jednoduchý</t>
  </si>
  <si>
    <t>rámeček 2x, dvojrámeček</t>
  </si>
  <si>
    <t>krabice přístrojová KP</t>
  </si>
  <si>
    <t>hmoždinky vč.vrutu, vrtání</t>
  </si>
  <si>
    <t>vodič CY 4 - zel.žl.</t>
  </si>
  <si>
    <t>rozvodnice RB</t>
  </si>
  <si>
    <t>přezkoušení vedení</t>
  </si>
  <si>
    <t>práce neoceněné položkami ceníku (drobný pomocný materiál)</t>
  </si>
  <si>
    <t>soub</t>
  </si>
  <si>
    <t>hod</t>
  </si>
  <si>
    <t>revize el.zařízení</t>
  </si>
  <si>
    <t xml:space="preserve">Materiál + montáž silnoproud celkem </t>
  </si>
  <si>
    <t>svorkovnice KLM</t>
  </si>
  <si>
    <t>zapojení rozvaděče</t>
  </si>
  <si>
    <t>SLABOPROUD</t>
  </si>
  <si>
    <t xml:space="preserve">Materiál + montáž slaboproud celkem </t>
  </si>
  <si>
    <t>Dokumentace skutečného provedení (2 vyhotovení)</t>
  </si>
  <si>
    <t xml:space="preserve">Celkem </t>
  </si>
  <si>
    <t>Celkové rozpočtové náklady elektroinstalace bez DPH</t>
  </si>
  <si>
    <t xml:space="preserve">DPH </t>
  </si>
  <si>
    <t>Cena vč. DPH</t>
  </si>
  <si>
    <t>Poznámky pro zhotovitele</t>
  </si>
  <si>
    <t xml:space="preserve">Uvedené technické parametry jsou pro zhotovitele závazné.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</si>
  <si>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 xml:space="preserve"> - náklady na opatření k zajištění bezpečnosti práce</t>
  </si>
  <si>
    <t xml:space="preserve"> -  všechny potřebné pomocné dodávky a práce pro upevnění, zabezpečení funkčnosti a finální pohledové 
úpravy, které jsou běžně součástí dodávaného výrobku nebo systému  nebo jsou předepsány projektem a 
nejsou výslovně uvedeny jako samostatné položky ;</t>
  </si>
  <si>
    <t xml:space="preserve"> - náklady na protihluková a protiprašná zařízení </t>
  </si>
  <si>
    <t xml:space="preserve"> - náklady na požadované záruky, pojištění a ostatní finanční náklady.</t>
  </si>
  <si>
    <t xml:space="preserve"> - náklady na prořez a ztratné zabudovaného materiálu</t>
  </si>
  <si>
    <t>Materiál + montáž slaboproud celkem</t>
  </si>
  <si>
    <t>Zakrytí okenních výplní PE folií vč. dodání</t>
  </si>
  <si>
    <t>Stavební úpravy bytové jednotky</t>
  </si>
  <si>
    <t>Izolace návleková  tl. stěny 20 mm vnitřní průměr 25 mm</t>
  </si>
  <si>
    <t>Izolace návleková  tl. stěny 13 mm vnitřní průměr 25 mm</t>
  </si>
  <si>
    <t>SK1-D</t>
  </si>
  <si>
    <t>o</t>
  </si>
  <si>
    <t>Opravy</t>
  </si>
  <si>
    <t>Investice</t>
  </si>
  <si>
    <t>i</t>
  </si>
  <si>
    <t>Cena bez DPH</t>
  </si>
  <si>
    <t>KD(I)1-M</t>
  </si>
  <si>
    <t>Přípravné a bourací práce</t>
  </si>
  <si>
    <t xml:space="preserve">Tmelení akrylátovým tmelem </t>
  </si>
  <si>
    <t>Úpravy povrchů vnitřní (stěny, stropy)</t>
  </si>
  <si>
    <t>Hydroizolační koutová těsnící páska vč. rohových tvarovek (svislé stěny)</t>
  </si>
  <si>
    <t>Hydroizolační koutová těsnící páska vč. rohových tvarovek (vororovné plochy)</t>
  </si>
  <si>
    <t>DU1</t>
  </si>
  <si>
    <t>DU2</t>
  </si>
  <si>
    <t>DU3-M</t>
  </si>
  <si>
    <t>DU3a-D</t>
  </si>
  <si>
    <t>DU3b-D</t>
  </si>
  <si>
    <t>DU3-D</t>
  </si>
  <si>
    <t xml:space="preserve"> </t>
  </si>
  <si>
    <t>V1</t>
  </si>
  <si>
    <t xml:space="preserve">Elektroinstalace - silnoproud </t>
  </si>
  <si>
    <t>Elektroinstalace - slaboproud</t>
  </si>
  <si>
    <r>
      <rPr>
        <i/>
        <sz val="10"/>
        <rFont val="Arial CE"/>
        <family val="2"/>
      </rPr>
      <t>Investor:</t>
    </r>
    <r>
      <rPr>
        <sz val="14"/>
        <rFont val="Arial CE"/>
        <family val="2"/>
      </rPr>
      <t xml:space="preserve"> Městská Část Praha 5 zastoupená firmou Centra a.s.</t>
    </r>
  </si>
  <si>
    <t>svorka Bernard vč.Cu pásku</t>
  </si>
  <si>
    <t>krabicová rozvodka KR 68</t>
  </si>
  <si>
    <t>ukončení vodiče</t>
  </si>
  <si>
    <t>sekání průrazů</t>
  </si>
  <si>
    <t>sekání (vrtání) otvoru pro krabice</t>
  </si>
  <si>
    <t>demontážní práce</t>
  </si>
  <si>
    <t>proudový chránič 16/1N/0,03</t>
  </si>
  <si>
    <t>televizní zásuvka STA</t>
  </si>
  <si>
    <t>Baterie dřezová stojánková páková směšovací, chrom,  vč.flexo hadiček - specifikace dle PD</t>
  </si>
  <si>
    <t xml:space="preserve">opravy </t>
  </si>
  <si>
    <t xml:space="preserve">investice </t>
  </si>
  <si>
    <t xml:space="preserve">kontrola </t>
  </si>
  <si>
    <t>Podlahy dřevěné a povlakové</t>
  </si>
  <si>
    <t>DU3</t>
  </si>
  <si>
    <t>poznámka</t>
  </si>
  <si>
    <t>Nástěnka závitová plastová PPR PN 20, 25x4.2, 1/2</t>
  </si>
  <si>
    <t>Nástěnný komplet (Nástěnka dvojitá závitová plastová) PPR PN 20, 25x4.2, 1/2</t>
  </si>
  <si>
    <t>m3</t>
  </si>
  <si>
    <t>V4</t>
  </si>
  <si>
    <t>Topení</t>
  </si>
  <si>
    <t>Demontáž ventilu výtokového nástěnného</t>
  </si>
  <si>
    <t>Demontáž klozetu včetně splachovací nádrže</t>
  </si>
  <si>
    <t>Odsekání vnitřních obkladů stěn nad 2 m2</t>
  </si>
  <si>
    <t>Stropy a stropní konstrukce a podhledy</t>
  </si>
  <si>
    <t>Kuchyňská linka vč. pracovní desky, bez spotřebičů dle specifikace v PD</t>
  </si>
  <si>
    <t>Příplatek k obkladu stěn keram.,za plochu do 10 m2</t>
  </si>
  <si>
    <t>978013121R00</t>
  </si>
  <si>
    <t>979011211R00</t>
  </si>
  <si>
    <t>979081111RT2</t>
  </si>
  <si>
    <t xml:space="preserve">Odvoz suti a vybour. hmot na skládku do 1 km kontejnerem </t>
  </si>
  <si>
    <t>979081121RT2</t>
  </si>
  <si>
    <t>Příplatek k odvozu za každý další 1 km (uvažováno 9km)</t>
  </si>
  <si>
    <t>979094211R00</t>
  </si>
  <si>
    <t>Nakládání nebo překládání vybourané suti</t>
  </si>
  <si>
    <t>979990107R00</t>
  </si>
  <si>
    <t>Poplatek za skládku suti - směs betonu,cihel</t>
  </si>
  <si>
    <t>Poplatek za skládku suti - dřevo</t>
  </si>
  <si>
    <t>979990161R00</t>
  </si>
  <si>
    <t>d</t>
  </si>
  <si>
    <t>342091051R00</t>
  </si>
  <si>
    <t>Těsnění styku příčky se stáv. konstrukcí PU pěnou</t>
  </si>
  <si>
    <t>342668111R00</t>
  </si>
  <si>
    <t>Parotěsná zábrana tl. min. 0,25mm, propustnost páry – difuzní tloušťka Sd 50m</t>
  </si>
  <si>
    <t>713111221RK4</t>
  </si>
  <si>
    <t>713111261RK2</t>
  </si>
  <si>
    <t>Utěsnění prostupu parozábranou pevnou páskou vč. dodávky pásky  podél ventilátoru)</t>
  </si>
  <si>
    <t>713111271RS2</t>
  </si>
  <si>
    <t>Utěsnění styku s jinou konstr. oboustrannou páskou, vč. dodávky pásky (po obvodu místností)</t>
  </si>
  <si>
    <t>713111121RT1</t>
  </si>
  <si>
    <t xml:space="preserve">Větrací plastová mřížka do SDK podhledu, průměr 100 mm (větrání plynu)  včetně kotvícího materiálu </t>
  </si>
  <si>
    <t>Montáž mřížek</t>
  </si>
  <si>
    <t>SK2-D+M</t>
  </si>
  <si>
    <t>612475111RT3</t>
  </si>
  <si>
    <t>784496500R00</t>
  </si>
  <si>
    <t>Penetrace podkladu (před vystěrkováním)</t>
  </si>
  <si>
    <t>Začištění omítek kolem oken,dveří apod. s použitím suché maltové směsi</t>
  </si>
  <si>
    <t>612409991RT2</t>
  </si>
  <si>
    <t>Omítka vápenná vnitřního ostění - štuková s použitím suché maltové směsi</t>
  </si>
  <si>
    <t>612425931RT2</t>
  </si>
  <si>
    <t xml:space="preserve">Omítka stěn vnitřní tenkovrstvá vápenná - štuk. Položka obsahuje nátěr podkladu spojovacím můstkem a štukovou omítku tl. 5 mm. Ruční provedení. </t>
  </si>
  <si>
    <t>Příplatek za zabudované rohovníky, stěny</t>
  </si>
  <si>
    <t>612473186R00</t>
  </si>
  <si>
    <t>781479711R00</t>
  </si>
  <si>
    <t>https://www.siko.cz/lista-ukoncovaci-l-hlinik-10-mm-250-cm-al10250/p/AL10250?gclid=EAIaIQobChMIsYDCpJ7F6QIVie3tCh0zFQanEAAYAyAAEgKzu_D_BwE</t>
  </si>
  <si>
    <t>https://www.siko.cz/lista-ukoncovaci-l-kartacovana-nerez-10-mm-250-cm-nrzk10250/p/NRZK10250</t>
  </si>
  <si>
    <t>https://www.datart.cz/Vestavna-trouba-MORA-VT-433-BW.html?gclid=EAIaIQobChMIpMnpia_H6QIVGofVCh2towCrEAAYASAAEgKGBfD_BwE</t>
  </si>
  <si>
    <t>Montáž obložkové zárubně a dřevěného křídla dveří</t>
  </si>
  <si>
    <t>766670011R00</t>
  </si>
  <si>
    <r>
      <t xml:space="preserve">Větrací mřížka do zděné příčky, plast </t>
    </r>
    <r>
      <rPr>
        <sz val="10"/>
        <color indexed="49"/>
        <rFont val="Arial"/>
        <family val="2"/>
      </rPr>
      <t>Ø</t>
    </r>
    <r>
      <rPr>
        <i/>
        <sz val="10"/>
        <color indexed="49"/>
        <rFont val="Arial"/>
        <family val="2"/>
      </rPr>
      <t>100mm</t>
    </r>
  </si>
  <si>
    <t>SK1-D+M</t>
  </si>
  <si>
    <t>SK1,2-M</t>
  </si>
  <si>
    <t>SK1-M</t>
  </si>
  <si>
    <t>SK1</t>
  </si>
  <si>
    <t>DU3c-D</t>
  </si>
  <si>
    <t>Malba nadpraží</t>
  </si>
  <si>
    <t>DS1</t>
  </si>
  <si>
    <t>Izolace tepelné stropů rovných, spodem, drátem, 1 vrstva - materiál ve specifikaci</t>
  </si>
  <si>
    <t>https://rajstavitelu.cz/p/92-isover-eps-150#</t>
  </si>
  <si>
    <t>Pokládka izolace podlah, nasucho, jednovrstvá</t>
  </si>
  <si>
    <t>Separační folie vodorovná, vč. přelepení spojů, vč. dodávky materiálu</t>
  </si>
  <si>
    <t>Montáž kuchyňské linké linky, vč. úpravy pracovní desky a montáže spotřebičů</t>
  </si>
  <si>
    <t>771111122R00</t>
  </si>
  <si>
    <t>Lišta hliníková přechodová, Podrobně viz tabulka prvků PSV</t>
  </si>
  <si>
    <t>https://www.floorwood.cz/prechodova-lista-sroubovaci-obla-stribrna-e01/</t>
  </si>
  <si>
    <t>Ventilační přivzdušňovací hlavice, DN50</t>
  </si>
  <si>
    <t>721273160RT1</t>
  </si>
  <si>
    <t>https://ok-levne.cz/hl138-podomitkovy-sifon-ke-klimatizacnim-jednotkam-dn32-100x100mm.html</t>
  </si>
  <si>
    <t>Umyvadlo keramické 600/490/195 mm připevněné na stěnu šrouby vč. pilety clickclack- specifikace dle PD (ref. výrobek Lyra Plus)</t>
  </si>
  <si>
    <t>Dřezový sifon plastový</t>
  </si>
  <si>
    <t>https://www.siko.cz/umyvadlo-jika-lyra-plus-60x49-cm-otvor-pro-baterii-uprostred-h8143830001041/p/1438.3.000.104.1</t>
  </si>
  <si>
    <t>978059531R00</t>
  </si>
  <si>
    <t xml:space="preserve">Montáž uzávěrek zápach. </t>
  </si>
  <si>
    <t>728611113R00</t>
  </si>
  <si>
    <t>Montáž střišky nebo hlavice plech.kruh.do d 200 mm</t>
  </si>
  <si>
    <t>N</t>
  </si>
  <si>
    <t>728212712R00</t>
  </si>
  <si>
    <t>723163103R00</t>
  </si>
  <si>
    <t>723163104R00</t>
  </si>
  <si>
    <t>723235111R00</t>
  </si>
  <si>
    <t>Stavební přípomoce (potrubí v přizdívce-drážky vymazány maltou, prostupy-osazení chráničky)</t>
  </si>
  <si>
    <t>spínač č.6 - střídavý</t>
  </si>
  <si>
    <t>rámeček 3x, trojrámeček</t>
  </si>
  <si>
    <t>CYKYLo 3Cx2,5 vč.prořezu</t>
  </si>
  <si>
    <t>CYKYLo 2Ax1,5 vč.prořezu</t>
  </si>
  <si>
    <t>CYKYLo 3Ax1,5 vč.prořezu</t>
  </si>
  <si>
    <t>CYKYLo 3Cx1,5 vč.prořezu</t>
  </si>
  <si>
    <t>CYKYLo 5Cx1,5 vč.prořezu</t>
  </si>
  <si>
    <t>ukončení kabelu 4x10</t>
  </si>
  <si>
    <t xml:space="preserve">frézování drážky na stěnách </t>
  </si>
  <si>
    <t>Rozvaděč RB</t>
  </si>
  <si>
    <t>Jistič 10/1-B</t>
  </si>
  <si>
    <t>Jistič 16/1-B</t>
  </si>
  <si>
    <t>pom.materiál (svorky, vodiče)</t>
  </si>
  <si>
    <t xml:space="preserve">Rozvaděč RB celkem </t>
  </si>
  <si>
    <t>telefonní zásuvka (zásuvka,maska,kryt) - Cat5e</t>
  </si>
  <si>
    <t>krabice KO s víčkem</t>
  </si>
  <si>
    <t>kabel UTP Cat 5e vč.prořezu</t>
  </si>
  <si>
    <t>koaxiální kabel CB 130F vč.prořezu</t>
  </si>
  <si>
    <t>trubka PVC 2321</t>
  </si>
  <si>
    <t>krabice 125x125 - na povrch</t>
  </si>
  <si>
    <t>SYKFY 5x2x0,5</t>
  </si>
  <si>
    <t>podíl přidružených výkonů</t>
  </si>
  <si>
    <t>Montáž uzávěrek zápach. umyvadlových D32</t>
  </si>
  <si>
    <t>Odstranění nesoudržných štukových omítek (odhad 10% z plochy stěn)</t>
  </si>
  <si>
    <t>"O"opravy
"I" Investice</t>
  </si>
  <si>
    <t>Bandáž koutů - provedení</t>
  </si>
  <si>
    <t xml:space="preserve">Tmelení spár silikonem, obklad, sokl - dlažba, obklad vnitřní rohy , tmelení návazností na zárubně, zařizovací předměty </t>
  </si>
  <si>
    <t>SK1,2D</t>
  </si>
  <si>
    <t>Montáž parozábrany s přelepením spojů</t>
  </si>
  <si>
    <t>Vysávání podlah prům.vysavačem pro pokládku dlažby</t>
  </si>
  <si>
    <t>771101101R00</t>
  </si>
  <si>
    <t>Provedení hydroizol. stěrky pod dlažby dvouvrstvé vč. osazení systémových prvků</t>
  </si>
  <si>
    <t>3a</t>
  </si>
  <si>
    <t>Zdravotechnika - demontáže</t>
  </si>
  <si>
    <t>725290010RA0</t>
  </si>
  <si>
    <t>725810811R00</t>
  </si>
  <si>
    <t>Svislá doprava suti a vybour. hmot za 2.NP nošením</t>
  </si>
  <si>
    <t>3b</t>
  </si>
  <si>
    <t>3c</t>
  </si>
  <si>
    <t>3d</t>
  </si>
  <si>
    <t>3e</t>
  </si>
  <si>
    <t>3f</t>
  </si>
  <si>
    <t>3g</t>
  </si>
  <si>
    <t>Zdravotechnika</t>
  </si>
  <si>
    <t>Vyvedení odpadních výpustek D 110 x 2,7 (wc)</t>
  </si>
  <si>
    <t>721194109R00</t>
  </si>
  <si>
    <t>Obklad soklíků keram.rovných, tmel,výška 100 mm do lepidla vč. spár. a úpravy horní hrany v návaznosti na omítku</t>
  </si>
  <si>
    <t>Keramická dlažba dle specifikace v PD (sokl - proveden pásky 100 mm z řezané dlažby)</t>
  </si>
  <si>
    <t>725869204R00</t>
  </si>
  <si>
    <t>Montáž uzávěrek zápach.dřez.jednoduchý D 40</t>
  </si>
  <si>
    <t>763761201R00</t>
  </si>
  <si>
    <t>Příplatek za vytvoření kluzného napojení do 55 mm</t>
  </si>
  <si>
    <t>Není-li uvedeno jinak jsou položky uvažovány jako dodávka. Montáž a kompletace jsou uvedeny jako souborné položky. Součástí nacenění budou všechny systémové doplňky, kotevní, upevňovací prostředky, montážní sady a jiný pomocný materiál specifikovaný v technických a montážních předpisech vybraného výrobce. Položky zařizovacích předmětů jsou detailně popsány v projektové dokumentaci.</t>
  </si>
  <si>
    <t>Není-li uvedeno jinak jsou položky uvažovány společně dodávka i montáž. Součástí nacenění budou všechny systémové doplňky, kotevní, upevňovací prostředky a jiný pomocný materiál specifikovaný v technických a montážních předpisech vybraného výrobce.</t>
  </si>
  <si>
    <r>
      <t>Těsnící stěrka dle specifikace v PD, předpokládaná spotřeba 1,5kg/m</t>
    </r>
    <r>
      <rPr>
        <i/>
        <vertAlign val="superscript"/>
        <sz val="10"/>
        <color indexed="49"/>
        <rFont val="Arial"/>
        <family val="2"/>
      </rPr>
      <t>2</t>
    </r>
  </si>
  <si>
    <t>725860811R00</t>
  </si>
  <si>
    <t>784011221RT2</t>
  </si>
  <si>
    <t>968061125R00</t>
  </si>
  <si>
    <t>Potrubí z PPR, D 25x4,2 mm, PN 20, vč. zed. výpom.</t>
  </si>
  <si>
    <t>Tlaková zkouška vodovodního potrubí DN32</t>
  </si>
  <si>
    <t>725869101R00</t>
  </si>
  <si>
    <t>Montáž baterie umyv.a dřezové stojánkové</t>
  </si>
  <si>
    <t>721194103R00</t>
  </si>
  <si>
    <t>721194104R00</t>
  </si>
  <si>
    <t>Vyvedení odpadních výpustek D 40 x 1,8 (pro dřez)</t>
  </si>
  <si>
    <t>721194105R00</t>
  </si>
  <si>
    <t>Montáž sprchových koutů (vanička vč. napojení na sifon, zástěna)</t>
  </si>
  <si>
    <t>Montáž držáku sprchy</t>
  </si>
  <si>
    <t>725849302R00</t>
  </si>
  <si>
    <t>RTS kody</t>
  </si>
  <si>
    <t>342091043R00</t>
  </si>
  <si>
    <t>416091082R00</t>
  </si>
  <si>
    <t>784402801R00</t>
  </si>
  <si>
    <t>Potrubí HT připojovací DN 110 x 2,7mm, vč. nezbytných kolen, odboček, redukcí a montáže</t>
  </si>
  <si>
    <t>Potrubí HT připojovací D 50 x 1,8 mm, vč. nezbytných kolen, odboček, redukcí a montáže</t>
  </si>
  <si>
    <t>Potrubí HT připojovací D 75 x 1,9 mm, vč. nezbytných kolen, odboček, redukcí a montáže</t>
  </si>
  <si>
    <t>Penetrace podkladu pod obklady, položka obsahuje provedení penetračního nátěru včetně dodávky materiálu.</t>
  </si>
  <si>
    <t>781101210RT2</t>
  </si>
  <si>
    <t>612474410R00</t>
  </si>
  <si>
    <t>781475118RT1</t>
  </si>
  <si>
    <t>781111121R00</t>
  </si>
  <si>
    <t>Montáž lišt rohových, vanových a dilatačních</t>
  </si>
  <si>
    <t>781101142R00</t>
  </si>
  <si>
    <t>771101147R00</t>
  </si>
  <si>
    <t>612481211RT2</t>
  </si>
  <si>
    <t xml:space="preserve">Malba standard, bílá, bez penetr.,min. 2x stěny a stropy </t>
  </si>
  <si>
    <t>784115212R00</t>
  </si>
  <si>
    <t>D+M</t>
  </si>
  <si>
    <t>722172331R00</t>
  </si>
  <si>
    <t>722290215R00</t>
  </si>
  <si>
    <t>722290234R00</t>
  </si>
  <si>
    <t xml:space="preserve">Proplach a dezinfekce vodovod.potrubí </t>
  </si>
  <si>
    <t>Montáž umyvadel na šrouby do zdiva</t>
  </si>
  <si>
    <t>725219401R00</t>
  </si>
  <si>
    <t xml:space="preserve">Umyvadlový sifon s vtokem vč. napojovací manžety chrom </t>
  </si>
  <si>
    <t>Baterie umyvadlová stoján. Ruční páková, bez otvír.odpadu standard vč.flexo hadiček</t>
  </si>
  <si>
    <t>725829202R00</t>
  </si>
  <si>
    <t>725249101R00</t>
  </si>
  <si>
    <t>Vaničkový sifon, průměr otvoru 90 mm, DN50, krytka leštěná nerez průměr 120 mm, otvor sifonu 90 mm, průměr odpadu 50 mm, průtok 39 l/min, shora čistitelný odpadní systém</t>
  </si>
  <si>
    <t>725319101R00</t>
  </si>
  <si>
    <t>Montáž dřezů jednoduchých</t>
  </si>
  <si>
    <t>T01 D+M</t>
  </si>
  <si>
    <t>771101142R00</t>
  </si>
  <si>
    <t>771475014RU7</t>
  </si>
  <si>
    <t>Montáž podlahových lišt přechodových</t>
  </si>
  <si>
    <t>V3 -M</t>
  </si>
  <si>
    <t>V3- D</t>
  </si>
  <si>
    <t>Malba sádrokarto (příčky, podhledy)</t>
  </si>
  <si>
    <t>Příplatek k podhledu sádrokart. za plochu do 5 m2</t>
  </si>
  <si>
    <t>784111101R00</t>
  </si>
  <si>
    <t xml:space="preserve">Penetrace podkladu nátěrem </t>
  </si>
  <si>
    <t>Montáž revizních dvířek, mřížek</t>
  </si>
  <si>
    <t>V5</t>
  </si>
  <si>
    <t>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t>
  </si>
  <si>
    <t>Plyn</t>
  </si>
  <si>
    <t>Kohout kulový 1/2" plyn</t>
  </si>
  <si>
    <t>Zkouška plynu dle ČSN, zkouška pevnosti a těsnosti</t>
  </si>
  <si>
    <t>Baterie sprchová nástěnná páková včetně sprchového setu a příslušenství - specifikace dle PD</t>
  </si>
  <si>
    <t>Dřez jednoduchý nerezový (400x500) se zápachovou uzávěrkou, specifikace dle PD</t>
  </si>
  <si>
    <t>počet mj</t>
  </si>
  <si>
    <t>cena mj</t>
  </si>
  <si>
    <t>cena celkem</t>
  </si>
  <si>
    <t>Rekapitulace</t>
  </si>
  <si>
    <t>Celkem základní cena</t>
  </si>
  <si>
    <t>DPH stavby</t>
  </si>
  <si>
    <t>Celkem vč. DPH</t>
  </si>
  <si>
    <t>Poznámky pro uchazeče</t>
  </si>
  <si>
    <t>Jednotkové ceny by měly obsahovat:</t>
  </si>
  <si>
    <t>b) náklady na opatření k zajištění bezpečnosti práce</t>
  </si>
  <si>
    <t xml:space="preserve">e) náklady na protihluková a protiprašná zařízení </t>
  </si>
  <si>
    <t>U systémových řešení předpokládáme, že se dodavatel seznámí s typovou dokumentací výrobce a ve své ceně zohlední jak úplné řešení standardní, tak i všechny případné modifikace v průměrné ceně za běžnou jednotku, pokud nejsou v této specifikaci výslovně samostatně uvedeny.</t>
  </si>
  <si>
    <t>Některé výměry v této specifikaci jsou orientační (převážně jsou uvažovány na horní hranici možných dodávek a prací); je žádoucí, aby fakturovány byly pouze skutečně provedené práce.</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</si>
</sst>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
    <numFmt numFmtId="167" formatCode="0.0"/>
    <numFmt numFmtId="168" formatCode="#,##0.0"/>
    <numFmt numFmtId="169" formatCode="0.0000"/>
    <numFmt numFmtId="170" formatCode="0.000"/>
    <numFmt numFmtId="171" formatCode="0.00000"/>
    <numFmt numFmtId="172" formatCode="&quot;Yes&quot;;&quot;Yes&quot;;&quot;No&quot;"/>
    <numFmt numFmtId="173" formatCode="&quot;True&quot;;&quot;True&quot;;&quot;False&quot;"/>
    <numFmt numFmtId="174" formatCode="&quot;On&quot;;&quot;On&quot;;&quot;Off&quot;"/>
    <numFmt numFmtId="175" formatCode="[$€-2]\ #\ ##,000_);[Red]\([$€-2]\ #\ ##,000\)"/>
    <numFmt numFmtId="176" formatCode="#,##0\ &quot;Kč&quot;"/>
    <numFmt numFmtId="177" formatCode="#,##0.0\ &quot;Kč&quot;"/>
    <numFmt numFmtId="178" formatCode="[$¥€-2]\ #\ ##,000_);[Red]\([$€-2]\ #\ ##,000\)"/>
    <numFmt numFmtId="179" formatCode="#,##0\ _K_č"/>
    <numFmt numFmtId="180" formatCode="#,##0.00\ &quot;Kč&quot;"/>
    <numFmt numFmtId="181" formatCode="[$€-2]\ #,##0.00_);[Red]\([$€-2]\ #,##0.00\)"/>
    <numFmt numFmtId="182" formatCode="_(#,##0_);[Red]\-\ #,##0_);&quot;–&quot;??;_(@_)"/>
    <numFmt numFmtId="183" formatCode="_-* #,##0\ &quot;Kč&quot;_-;\-* #,##0\ &quot;Kč&quot;_-;_-* &quot;-&quot;??\ &quot;Kč&quot;_-;_-@_-"/>
    <numFmt numFmtId="184" formatCode="#,##0.000\ &quot;Kč&quot;"/>
  </numFmts>
  <fonts count="62">
    <font>
      <sz val="10"/>
      <name val="Arial CE"/>
      <family val="2"/>
    </font>
    <font>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CE"/>
      <family val="2"/>
    </font>
    <font>
      <b/>
      <sz val="10"/>
      <name val="Arial CE"/>
      <family val="2"/>
    </font>
    <font>
      <i/>
      <sz val="10"/>
      <name val="Arial CE"/>
      <family val="2"/>
    </font>
    <font>
      <sz val="14"/>
      <name val="Arial CE"/>
      <family val="2"/>
    </font>
    <font>
      <sz val="18"/>
      <name val="Arial CE"/>
      <family val="2"/>
    </font>
    <font>
      <b/>
      <sz val="16"/>
      <name val="Arial CE"/>
      <family val="2"/>
    </font>
    <font>
      <u val="single"/>
      <sz val="13"/>
      <color indexed="12"/>
      <name val="Arial CE"/>
      <family val="2"/>
    </font>
    <font>
      <b/>
      <sz val="11"/>
      <name val="Arial CE"/>
      <family val="2"/>
    </font>
    <font>
      <b/>
      <sz val="12"/>
      <name val="Arial CE"/>
      <family val="2"/>
    </font>
    <font>
      <b/>
      <sz val="14"/>
      <name val="Arial CE"/>
      <family val="2"/>
    </font>
    <font>
      <sz val="7"/>
      <name val="Arial CE"/>
      <family val="2"/>
    </font>
    <font>
      <sz val="11"/>
      <name val="Arial CE"/>
      <family val="2"/>
    </font>
    <font>
      <b/>
      <sz val="10"/>
      <name val="Arial"/>
      <family val="2"/>
    </font>
    <font>
      <u val="single"/>
      <sz val="10"/>
      <color indexed="20"/>
      <name val="Arial CE"/>
      <family val="2"/>
    </font>
    <font>
      <i/>
      <sz val="10"/>
      <name val="Arial"/>
      <family val="2"/>
    </font>
    <font>
      <b/>
      <sz val="12"/>
      <name val="Arial"/>
      <family val="2"/>
    </font>
    <font>
      <sz val="8"/>
      <name val="Arial"/>
      <family val="2"/>
    </font>
    <font>
      <i/>
      <sz val="10"/>
      <color indexed="49"/>
      <name val="Arial"/>
      <family val="2"/>
    </font>
    <font>
      <b/>
      <sz val="11"/>
      <color indexed="8"/>
      <name val="Arial"/>
      <family val="2"/>
    </font>
    <font>
      <b/>
      <sz val="10"/>
      <color indexed="8"/>
      <name val="Arial"/>
      <family val="2"/>
    </font>
    <font>
      <sz val="10"/>
      <color indexed="8"/>
      <name val="Arial CE"/>
      <family val="2"/>
    </font>
    <font>
      <b/>
      <sz val="10"/>
      <color indexed="8"/>
      <name val="Arial CE"/>
      <family val="2"/>
    </font>
    <font>
      <sz val="7"/>
      <color indexed="8"/>
      <name val="Arial CE"/>
      <family val="2"/>
    </font>
    <font>
      <sz val="11"/>
      <color indexed="8"/>
      <name val="Arial CE"/>
      <family val="2"/>
    </font>
    <font>
      <sz val="10"/>
      <color indexed="10"/>
      <name val="Arial CE"/>
      <family val="2"/>
    </font>
    <font>
      <b/>
      <sz val="10"/>
      <color indexed="10"/>
      <name val="Arial CE"/>
      <family val="2"/>
    </font>
    <font>
      <sz val="7"/>
      <color indexed="10"/>
      <name val="Arial CE"/>
      <family val="2"/>
    </font>
    <font>
      <sz val="11"/>
      <color indexed="10"/>
      <name val="Arial CE"/>
      <family val="2"/>
    </font>
    <font>
      <i/>
      <sz val="10"/>
      <color indexed="30"/>
      <name val="Arial"/>
      <family val="2"/>
    </font>
    <font>
      <sz val="10"/>
      <color indexed="49"/>
      <name val="Arial"/>
      <family val="2"/>
    </font>
    <font>
      <sz val="10"/>
      <color indexed="10"/>
      <name val="Arial"/>
      <family val="2"/>
    </font>
    <font>
      <i/>
      <vertAlign val="superscript"/>
      <sz val="10"/>
      <color indexed="49"/>
      <name val="Arial"/>
      <family val="2"/>
    </font>
    <font>
      <b/>
      <sz val="11"/>
      <name val="Calibri"/>
      <family val="2"/>
    </font>
    <font>
      <sz val="11"/>
      <name val="Calibri"/>
      <family val="2"/>
    </font>
    <font>
      <i/>
      <sz val="10"/>
      <color indexed="40"/>
      <name val="Arial"/>
      <family val="2"/>
    </font>
    <font>
      <b/>
      <sz val="8"/>
      <name val="Arial"/>
      <family val="2"/>
    </font>
    <font>
      <b/>
      <sz val="8"/>
      <color indexed="10"/>
      <name val="Arial CE"/>
      <family val="0"/>
    </font>
    <font>
      <i/>
      <sz val="8"/>
      <color indexed="49"/>
      <name val="Arial"/>
      <family val="2"/>
    </font>
    <font>
      <sz val="10"/>
      <name val="Calibri"/>
      <family val="2"/>
    </font>
    <font>
      <sz val="10"/>
      <color indexed="40"/>
      <name val="Arial"/>
      <family val="2"/>
    </font>
    <font>
      <sz val="12"/>
      <name val="Arial"/>
      <family val="2"/>
    </font>
    <font>
      <sz val="8"/>
      <color indexed="10"/>
      <name val="Arial"/>
      <family val="2"/>
    </font>
    <font>
      <b/>
      <sz val="8"/>
      <color indexed="10"/>
      <name val="Arial"/>
      <family val="2"/>
    </font>
  </fonts>
  <fills count="24">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
      <patternFill patternType="solid">
        <fgColor indexed="51"/>
        <bgColor indexed="64"/>
      </patternFill>
    </fill>
    <fill>
      <patternFill patternType="solid">
        <fgColor indexed="47"/>
        <bgColor indexed="64"/>
      </patternFill>
    </fill>
  </fills>
  <borders count="36">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hair"/>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thin"/>
      <right style="thin"/>
      <top>
        <color indexed="63"/>
      </top>
      <bottom style="thin"/>
    </border>
    <border>
      <left>
        <color indexed="63"/>
      </left>
      <right>
        <color indexed="63"/>
      </right>
      <top>
        <color indexed="63"/>
      </top>
      <bottom style="medium"/>
    </border>
    <border>
      <left>
        <color indexed="63"/>
      </left>
      <right>
        <color indexed="63"/>
      </right>
      <top style="hair"/>
      <bottom style="hair"/>
    </border>
    <border>
      <left>
        <color indexed="63"/>
      </left>
      <right>
        <color indexed="63"/>
      </right>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style="hair"/>
    </border>
    <border>
      <left>
        <color indexed="63"/>
      </left>
      <right>
        <color indexed="63"/>
      </right>
      <top>
        <color indexed="63"/>
      </top>
      <bottom style="thin"/>
    </border>
    <border>
      <left/>
      <right/>
      <top style="hair"/>
      <bottom style="mediu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4"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25" fillId="0" borderId="0" applyNumberFormat="0" applyFill="0" applyBorder="0" applyAlignment="0" applyProtection="0"/>
    <xf numFmtId="0" fontId="5" fillId="10" borderId="0" applyNumberFormat="0" applyBorder="0" applyAlignment="0" applyProtection="0"/>
    <xf numFmtId="0" fontId="6" fillId="9" borderId="2"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6" borderId="0" applyNumberFormat="0" applyBorder="0" applyAlignment="0" applyProtection="0"/>
    <xf numFmtId="0" fontId="1" fillId="0" borderId="0">
      <alignment/>
      <protection/>
    </xf>
    <xf numFmtId="0" fontId="0" fillId="0" borderId="0">
      <alignment/>
      <protection/>
    </xf>
    <xf numFmtId="0" fontId="0" fillId="4" borderId="5" applyNumberFormat="0" applyAlignment="0" applyProtection="0"/>
    <xf numFmtId="9" fontId="0" fillId="0" borderId="0" applyFill="0" applyBorder="0" applyAlignment="0" applyProtection="0"/>
    <xf numFmtId="9" fontId="1" fillId="0" borderId="0" applyFont="0" applyFill="0" applyBorder="0" applyAlignment="0" applyProtection="0"/>
    <xf numFmtId="0" fontId="12" fillId="0" borderId="6" applyNumberFormat="0" applyFill="0" applyAlignment="0" applyProtection="0"/>
    <xf numFmtId="0" fontId="32" fillId="0" borderId="0" applyNumberFormat="0" applyFill="0" applyBorder="0" applyAlignment="0" applyProtection="0"/>
    <xf numFmtId="0" fontId="13" fillId="11" borderId="0" applyNumberFormat="0" applyBorder="0" applyAlignment="0" applyProtection="0"/>
    <xf numFmtId="0" fontId="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10" fillId="0" borderId="0" applyNumberFormat="0" applyFill="0" applyBorder="0" applyAlignment="0" applyProtection="0"/>
    <xf numFmtId="0" fontId="4" fillId="0" borderId="1" applyNumberFormat="0" applyFill="0" applyAlignment="0" applyProtection="0"/>
    <xf numFmtId="0" fontId="15" fillId="3" borderId="7" applyNumberFormat="0" applyAlignment="0" applyProtection="0"/>
    <xf numFmtId="0" fontId="16" fillId="2" borderId="7" applyNumberFormat="0" applyAlignment="0" applyProtection="0"/>
    <xf numFmtId="0" fontId="17" fillId="2" borderId="8" applyNumberFormat="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8" borderId="0" applyNumberFormat="0" applyBorder="0" applyAlignment="0" applyProtection="0"/>
    <xf numFmtId="0" fontId="3" fillId="15" borderId="0" applyNumberFormat="0" applyBorder="0" applyAlignment="0" applyProtection="0"/>
  </cellStyleXfs>
  <cellXfs count="349">
    <xf numFmtId="0" fontId="0" fillId="0" borderId="0" xfId="0" applyAlignment="1">
      <alignment/>
    </xf>
    <xf numFmtId="180" fontId="1" fillId="16" borderId="9" xfId="0" applyNumberFormat="1" applyFont="1" applyFill="1" applyBorder="1" applyAlignment="1" applyProtection="1">
      <alignment vertical="center"/>
      <protection hidden="1"/>
    </xf>
    <xf numFmtId="170" fontId="1" fillId="0" borderId="9" xfId="0" applyNumberFormat="1" applyFont="1" applyFill="1" applyBorder="1" applyAlignment="1" applyProtection="1">
      <alignment horizontal="right" vertical="center"/>
      <protection hidden="1"/>
    </xf>
    <xf numFmtId="170" fontId="36" fillId="0" borderId="9" xfId="0" applyNumberFormat="1" applyFont="1" applyFill="1" applyBorder="1" applyAlignment="1" applyProtection="1">
      <alignment horizontal="right" vertical="center"/>
      <protection hidden="1"/>
    </xf>
    <xf numFmtId="170" fontId="1" fillId="0" borderId="9" xfId="0" applyNumberFormat="1" applyFont="1" applyBorder="1" applyAlignment="1" applyProtection="1">
      <alignment horizontal="right" vertical="center"/>
      <protection hidden="1"/>
    </xf>
    <xf numFmtId="0" fontId="49" fillId="0" borderId="0" xfId="66" applyFont="1" applyAlignment="1" applyProtection="1">
      <alignment horizontal="left" vertical="center"/>
      <protection hidden="1"/>
    </xf>
    <xf numFmtId="3" fontId="1" fillId="17" borderId="0" xfId="0" applyNumberFormat="1" applyFont="1" applyFill="1" applyAlignment="1" applyProtection="1">
      <alignment horizontal="center" vertical="center"/>
      <protection hidden="1"/>
    </xf>
    <xf numFmtId="0" fontId="0" fillId="0" borderId="10" xfId="66" applyBorder="1" applyAlignment="1" applyProtection="1">
      <alignment vertical="center" wrapText="1"/>
      <protection hidden="1"/>
    </xf>
    <xf numFmtId="3" fontId="1" fillId="0" borderId="9" xfId="0" applyNumberFormat="1" applyFont="1" applyBorder="1" applyAlignment="1" applyProtection="1">
      <alignment horizontal="left" vertical="center"/>
      <protection hidden="1"/>
    </xf>
    <xf numFmtId="177" fontId="1" fillId="0" borderId="9" xfId="0" applyNumberFormat="1" applyFont="1" applyBorder="1" applyAlignment="1" applyProtection="1">
      <alignment vertical="center"/>
      <protection hidden="1"/>
    </xf>
    <xf numFmtId="0" fontId="43" fillId="0" borderId="0" xfId="0" applyFont="1" applyAlignment="1" applyProtection="1">
      <alignment/>
      <protection hidden="1"/>
    </xf>
    <xf numFmtId="0" fontId="0" fillId="0" borderId="0" xfId="0" applyAlignment="1" applyProtection="1">
      <alignment/>
      <protection hidden="1"/>
    </xf>
    <xf numFmtId="170" fontId="36" fillId="0" borderId="9" xfId="0" applyNumberFormat="1" applyFont="1" applyBorder="1" applyAlignment="1" applyProtection="1">
      <alignment horizontal="right" vertical="center"/>
      <protection hidden="1"/>
    </xf>
    <xf numFmtId="0" fontId="49" fillId="0" borderId="0" xfId="66" applyFont="1" applyFill="1" applyAlignment="1" applyProtection="1">
      <alignment horizontal="left" vertical="center"/>
      <protection hidden="1"/>
    </xf>
    <xf numFmtId="3" fontId="1" fillId="0" borderId="9" xfId="0" applyNumberFormat="1" applyFont="1" applyBorder="1" applyAlignment="1" applyProtection="1">
      <alignment horizontal="left" vertical="center" wrapText="1"/>
      <protection hidden="1"/>
    </xf>
    <xf numFmtId="177" fontId="1" fillId="16" borderId="9" xfId="0" applyNumberFormat="1" applyFont="1" applyFill="1" applyBorder="1" applyAlignment="1" applyProtection="1">
      <alignment vertical="center"/>
      <protection hidden="1"/>
    </xf>
    <xf numFmtId="3" fontId="1" fillId="0" borderId="0" xfId="0" applyNumberFormat="1" applyFont="1" applyAlignment="1" applyProtection="1">
      <alignment horizontal="center" vertical="center"/>
      <protection hidden="1"/>
    </xf>
    <xf numFmtId="0" fontId="39" fillId="17" borderId="0" xfId="0" applyFont="1" applyFill="1" applyAlignment="1" applyProtection="1">
      <alignment horizontal="center" vertical="center"/>
      <protection hidden="1"/>
    </xf>
    <xf numFmtId="0" fontId="43" fillId="0" borderId="0" xfId="0" applyFont="1" applyAlignment="1" applyProtection="1">
      <alignment horizontal="left"/>
      <protection hidden="1"/>
    </xf>
    <xf numFmtId="3" fontId="1" fillId="0" borderId="0" xfId="0" applyNumberFormat="1" applyFont="1" applyFill="1" applyAlignment="1" applyProtection="1">
      <alignment horizontal="center" vertical="center"/>
      <protection hidden="1"/>
    </xf>
    <xf numFmtId="2" fontId="1" fillId="0" borderId="9" xfId="0" applyNumberFormat="1" applyFont="1" applyFill="1" applyBorder="1" applyAlignment="1" applyProtection="1">
      <alignment horizontal="right" vertical="center"/>
      <protection hidden="1"/>
    </xf>
    <xf numFmtId="2" fontId="36" fillId="0" borderId="9" xfId="0" applyNumberFormat="1" applyFont="1" applyFill="1" applyBorder="1" applyAlignment="1" applyProtection="1">
      <alignment horizontal="right" vertical="center"/>
      <protection hidden="1"/>
    </xf>
    <xf numFmtId="0" fontId="0" fillId="0" borderId="0" xfId="0" applyFont="1" applyBorder="1" applyAlignment="1" applyProtection="1">
      <alignment/>
      <protection hidden="1"/>
    </xf>
    <xf numFmtId="0" fontId="43" fillId="0" borderId="0" xfId="0" applyFont="1" applyFill="1" applyBorder="1" applyAlignment="1" applyProtection="1">
      <alignment horizontal="left"/>
      <protection hidden="1"/>
    </xf>
    <xf numFmtId="0" fontId="0" fillId="0" borderId="0" xfId="0" applyFont="1" applyFill="1" applyBorder="1" applyAlignment="1" applyProtection="1">
      <alignment horizontal="center"/>
      <protection hidden="1"/>
    </xf>
    <xf numFmtId="0" fontId="0" fillId="17" borderId="0" xfId="0" applyFont="1" applyFill="1" applyAlignment="1" applyProtection="1">
      <alignment vertical="center"/>
      <protection hidden="1"/>
    </xf>
    <xf numFmtId="0" fontId="0" fillId="0" borderId="0" xfId="0" applyFont="1" applyAlignment="1" applyProtection="1">
      <alignment/>
      <protection hidden="1"/>
    </xf>
    <xf numFmtId="0" fontId="19" fillId="0" borderId="11" xfId="0" applyFont="1" applyBorder="1" applyAlignment="1" applyProtection="1">
      <alignment horizontal="right" wrapText="1"/>
      <protection hidden="1"/>
    </xf>
    <xf numFmtId="0" fontId="19" fillId="0" borderId="11" xfId="0" applyFont="1" applyBorder="1" applyAlignment="1" applyProtection="1">
      <alignment horizontal="right"/>
      <protection hidden="1"/>
    </xf>
    <xf numFmtId="0" fontId="19" fillId="0" borderId="12" xfId="0" applyFont="1" applyBorder="1" applyAlignment="1" applyProtection="1">
      <alignment horizontal="right"/>
      <protection hidden="1"/>
    </xf>
    <xf numFmtId="170" fontId="0" fillId="0" borderId="0" xfId="0" applyNumberFormat="1" applyFont="1" applyAlignment="1" applyProtection="1">
      <alignment/>
      <protection hidden="1"/>
    </xf>
    <xf numFmtId="167" fontId="0" fillId="0" borderId="0" xfId="0" applyNumberFormat="1" applyFont="1" applyAlignment="1" applyProtection="1">
      <alignment/>
      <protection hidden="1"/>
    </xf>
    <xf numFmtId="0" fontId="39" fillId="0" borderId="0" xfId="0" applyFont="1" applyAlignment="1" applyProtection="1">
      <alignment horizontal="center" vertical="center"/>
      <protection hidden="1"/>
    </xf>
    <xf numFmtId="0" fontId="0" fillId="0" borderId="0" xfId="0" applyFont="1" applyAlignment="1" applyProtection="1">
      <alignment/>
      <protection hidden="1"/>
    </xf>
    <xf numFmtId="0" fontId="20" fillId="0" borderId="0" xfId="0" applyFont="1" applyAlignment="1" applyProtection="1">
      <alignment/>
      <protection hidden="1"/>
    </xf>
    <xf numFmtId="0" fontId="0" fillId="0" borderId="0" xfId="0" applyFont="1" applyAlignment="1" applyProtection="1">
      <alignment vertical="center"/>
      <protection hidden="1"/>
    </xf>
    <xf numFmtId="0" fontId="43" fillId="0" borderId="0" xfId="0" applyFont="1" applyFill="1" applyBorder="1" applyAlignment="1" applyProtection="1">
      <alignment horizontal="left"/>
      <protection hidden="1"/>
    </xf>
    <xf numFmtId="0" fontId="21" fillId="0" borderId="13" xfId="0" applyFont="1" applyBorder="1" applyAlignment="1" applyProtection="1">
      <alignment vertical="center"/>
      <protection hidden="1"/>
    </xf>
    <xf numFmtId="0" fontId="0" fillId="0" borderId="14" xfId="0" applyFont="1" applyBorder="1" applyAlignment="1" applyProtection="1">
      <alignment/>
      <protection hidden="1"/>
    </xf>
    <xf numFmtId="170" fontId="0" fillId="0" borderId="14" xfId="0" applyNumberFormat="1" applyFont="1" applyBorder="1" applyAlignment="1" applyProtection="1">
      <alignment/>
      <protection hidden="1"/>
    </xf>
    <xf numFmtId="167" fontId="0" fillId="0" borderId="14" xfId="0" applyNumberFormat="1" applyFont="1" applyBorder="1" applyAlignment="1" applyProtection="1">
      <alignment/>
      <protection hidden="1"/>
    </xf>
    <xf numFmtId="0" fontId="21" fillId="0" borderId="15" xfId="0" applyFont="1" applyBorder="1" applyAlignment="1" applyProtection="1">
      <alignment horizontal="right"/>
      <protection hidden="1"/>
    </xf>
    <xf numFmtId="0" fontId="23" fillId="0" borderId="16" xfId="0" applyFont="1" applyBorder="1" applyAlignment="1" applyProtection="1">
      <alignment vertical="center"/>
      <protection hidden="1"/>
    </xf>
    <xf numFmtId="0" fontId="0" fillId="0" borderId="17" xfId="0" applyFont="1" applyBorder="1" applyAlignment="1" applyProtection="1">
      <alignment/>
      <protection hidden="1"/>
    </xf>
    <xf numFmtId="170" fontId="0" fillId="0" borderId="17" xfId="0" applyNumberFormat="1" applyFont="1" applyBorder="1" applyAlignment="1" applyProtection="1">
      <alignment/>
      <protection hidden="1"/>
    </xf>
    <xf numFmtId="167" fontId="0" fillId="0" borderId="17" xfId="0" applyNumberFormat="1" applyFont="1" applyBorder="1" applyAlignment="1" applyProtection="1">
      <alignment/>
      <protection hidden="1"/>
    </xf>
    <xf numFmtId="0" fontId="24" fillId="0" borderId="18" xfId="0" applyFont="1" applyBorder="1" applyAlignment="1" applyProtection="1">
      <alignment horizontal="right"/>
      <protection hidden="1"/>
    </xf>
    <xf numFmtId="0" fontId="20" fillId="0" borderId="0" xfId="0" applyFont="1" applyAlignment="1" applyProtection="1">
      <alignment/>
      <protection hidden="1"/>
    </xf>
    <xf numFmtId="0" fontId="20" fillId="0" borderId="0" xfId="0" applyFont="1" applyBorder="1" applyAlignment="1" applyProtection="1">
      <alignment/>
      <protection hidden="1"/>
    </xf>
    <xf numFmtId="0" fontId="44" fillId="0" borderId="0" xfId="0" applyFont="1" applyFill="1" applyBorder="1" applyAlignment="1" applyProtection="1">
      <alignment horizontal="left"/>
      <protection hidden="1"/>
    </xf>
    <xf numFmtId="0" fontId="0" fillId="0" borderId="0" xfId="66" applyNumberFormat="1" applyFont="1" applyFill="1" applyBorder="1" applyAlignment="1" applyProtection="1">
      <alignment horizontal="left" vertical="center"/>
      <protection hidden="1"/>
    </xf>
    <xf numFmtId="0" fontId="25" fillId="18" borderId="9" xfId="54" applyNumberFormat="1" applyFill="1" applyBorder="1" applyAlignment="1" applyProtection="1">
      <alignment horizontal="left" vertical="center"/>
      <protection hidden="1"/>
    </xf>
    <xf numFmtId="0" fontId="20" fillId="18" borderId="9" xfId="0" applyFont="1" applyFill="1" applyBorder="1" applyAlignment="1" applyProtection="1">
      <alignment/>
      <protection hidden="1"/>
    </xf>
    <xf numFmtId="170" fontId="20" fillId="0" borderId="9" xfId="0" applyNumberFormat="1" applyFont="1" applyBorder="1" applyAlignment="1" applyProtection="1">
      <alignment/>
      <protection hidden="1"/>
    </xf>
    <xf numFmtId="176" fontId="20" fillId="0" borderId="9" xfId="0" applyNumberFormat="1" applyFont="1" applyBorder="1" applyAlignment="1" applyProtection="1">
      <alignment/>
      <protection hidden="1"/>
    </xf>
    <xf numFmtId="0" fontId="40" fillId="0" borderId="0" xfId="0" applyFont="1" applyAlignment="1" applyProtection="1">
      <alignment horizontal="center" vertical="center"/>
      <protection hidden="1"/>
    </xf>
    <xf numFmtId="0" fontId="44" fillId="0" borderId="0" xfId="0" applyFont="1" applyAlignment="1" applyProtection="1">
      <alignment/>
      <protection hidden="1"/>
    </xf>
    <xf numFmtId="183" fontId="1" fillId="0" borderId="0" xfId="57" applyNumberFormat="1" applyAlignment="1" applyProtection="1">
      <alignment/>
      <protection hidden="1"/>
    </xf>
    <xf numFmtId="183" fontId="0" fillId="0" borderId="0" xfId="0" applyNumberFormat="1" applyFont="1" applyAlignment="1" applyProtection="1">
      <alignment/>
      <protection hidden="1"/>
    </xf>
    <xf numFmtId="176" fontId="20" fillId="0" borderId="0" xfId="0" applyNumberFormat="1" applyFont="1" applyAlignment="1" applyProtection="1">
      <alignment/>
      <protection hidden="1"/>
    </xf>
    <xf numFmtId="0" fontId="0" fillId="0" borderId="0" xfId="66" applyNumberFormat="1" applyFont="1" applyFill="1" applyBorder="1" applyAlignment="1" applyProtection="1">
      <alignment horizontal="left" vertical="center" indent="1"/>
      <protection hidden="1"/>
    </xf>
    <xf numFmtId="0" fontId="0" fillId="0" borderId="0" xfId="66" applyFont="1" applyFill="1" applyAlignment="1" applyProtection="1">
      <alignment horizontal="left" vertical="center" indent="1"/>
      <protection hidden="1"/>
    </xf>
    <xf numFmtId="0" fontId="25" fillId="18" borderId="9" xfId="54" applyNumberFormat="1" applyFont="1" applyFill="1" applyBorder="1" applyAlignment="1" applyProtection="1">
      <alignment horizontal="left" vertical="center"/>
      <protection hidden="1"/>
    </xf>
    <xf numFmtId="0" fontId="0" fillId="0" borderId="0" xfId="66" applyNumberFormat="1" applyFont="1" applyFill="1" applyBorder="1" applyAlignment="1" applyProtection="1">
      <alignment horizontal="left" vertical="center" indent="1"/>
      <protection hidden="1"/>
    </xf>
    <xf numFmtId="0" fontId="40" fillId="0" borderId="0" xfId="0" applyFont="1" applyFill="1" applyAlignment="1" applyProtection="1">
      <alignment horizontal="center" vertical="center"/>
      <protection hidden="1"/>
    </xf>
    <xf numFmtId="0" fontId="44" fillId="0" borderId="0" xfId="0" applyFont="1" applyFill="1" applyAlignment="1" applyProtection="1">
      <alignment/>
      <protection hidden="1"/>
    </xf>
    <xf numFmtId="0" fontId="43" fillId="0" borderId="0" xfId="66" applyNumberFormat="1" applyFont="1" applyFill="1" applyBorder="1" applyAlignment="1" applyProtection="1">
      <alignment horizontal="left" vertical="center"/>
      <protection hidden="1"/>
    </xf>
    <xf numFmtId="0" fontId="0" fillId="0" borderId="0" xfId="0" applyFont="1" applyBorder="1" applyAlignment="1" applyProtection="1">
      <alignment vertical="center"/>
      <protection hidden="1"/>
    </xf>
    <xf numFmtId="170" fontId="0" fillId="0" borderId="0" xfId="0" applyNumberFormat="1" applyFont="1" applyBorder="1" applyAlignment="1" applyProtection="1">
      <alignment/>
      <protection hidden="1"/>
    </xf>
    <xf numFmtId="176" fontId="0" fillId="0" borderId="0" xfId="0" applyNumberFormat="1" applyFont="1" applyBorder="1" applyAlignment="1" applyProtection="1">
      <alignment/>
      <protection hidden="1"/>
    </xf>
    <xf numFmtId="0" fontId="26" fillId="0" borderId="19" xfId="0" applyFont="1" applyBorder="1" applyAlignment="1" applyProtection="1">
      <alignment vertical="center"/>
      <protection hidden="1"/>
    </xf>
    <xf numFmtId="0" fontId="0" fillId="0" borderId="19" xfId="0" applyFont="1" applyBorder="1" applyAlignment="1" applyProtection="1">
      <alignment/>
      <protection hidden="1"/>
    </xf>
    <xf numFmtId="170" fontId="27" fillId="0" borderId="19" xfId="0" applyNumberFormat="1" applyFont="1" applyBorder="1" applyAlignment="1" applyProtection="1">
      <alignment/>
      <protection hidden="1"/>
    </xf>
    <xf numFmtId="183" fontId="0" fillId="0" borderId="0" xfId="0" applyNumberFormat="1" applyFont="1" applyAlignment="1" applyProtection="1">
      <alignment/>
      <protection hidden="1"/>
    </xf>
    <xf numFmtId="0" fontId="0" fillId="0" borderId="19" xfId="0" applyFont="1" applyBorder="1" applyAlignment="1" applyProtection="1">
      <alignment vertical="center"/>
      <protection hidden="1"/>
    </xf>
    <xf numFmtId="170" fontId="0" fillId="0" borderId="19" xfId="0" applyNumberFormat="1" applyFont="1" applyBorder="1" applyAlignment="1" applyProtection="1">
      <alignment/>
      <protection hidden="1"/>
    </xf>
    <xf numFmtId="167" fontId="0" fillId="0" borderId="19" xfId="0" applyNumberFormat="1" applyFont="1" applyBorder="1" applyAlignment="1" applyProtection="1">
      <alignment/>
      <protection hidden="1"/>
    </xf>
    <xf numFmtId="3" fontId="20" fillId="0" borderId="19" xfId="0" applyNumberFormat="1" applyFont="1" applyBorder="1" applyAlignment="1" applyProtection="1">
      <alignment/>
      <protection hidden="1"/>
    </xf>
    <xf numFmtId="0" fontId="0" fillId="0" borderId="0" xfId="0" applyFont="1" applyFill="1" applyAlignment="1" applyProtection="1">
      <alignment/>
      <protection hidden="1"/>
    </xf>
    <xf numFmtId="3" fontId="0" fillId="0" borderId="19" xfId="0" applyNumberFormat="1" applyFont="1" applyBorder="1" applyAlignment="1" applyProtection="1">
      <alignment horizontal="right"/>
      <protection hidden="1"/>
    </xf>
    <xf numFmtId="176" fontId="20" fillId="0" borderId="19" xfId="0" applyNumberFormat="1" applyFont="1" applyBorder="1" applyAlignment="1" applyProtection="1">
      <alignment/>
      <protection hidden="1"/>
    </xf>
    <xf numFmtId="0" fontId="0" fillId="0" borderId="20" xfId="0" applyFont="1" applyBorder="1" applyAlignment="1" applyProtection="1">
      <alignment vertical="center"/>
      <protection hidden="1"/>
    </xf>
    <xf numFmtId="0" fontId="0" fillId="0" borderId="20" xfId="0" applyFont="1" applyBorder="1" applyAlignment="1" applyProtection="1">
      <alignment/>
      <protection hidden="1"/>
    </xf>
    <xf numFmtId="170" fontId="0" fillId="0" borderId="20" xfId="0" applyNumberFormat="1" applyFont="1" applyBorder="1" applyAlignment="1" applyProtection="1">
      <alignment/>
      <protection hidden="1"/>
    </xf>
    <xf numFmtId="10" fontId="0" fillId="0" borderId="20" xfId="68" applyNumberFormat="1" applyFill="1" applyBorder="1" applyAlignment="1" applyProtection="1">
      <alignment vertical="center"/>
      <protection hidden="1"/>
    </xf>
    <xf numFmtId="0" fontId="26" fillId="0" borderId="21" xfId="0" applyFont="1" applyBorder="1" applyAlignment="1" applyProtection="1">
      <alignment vertical="center"/>
      <protection hidden="1"/>
    </xf>
    <xf numFmtId="0" fontId="0" fillId="0" borderId="22" xfId="0" applyFont="1" applyBorder="1" applyAlignment="1" applyProtection="1">
      <alignment/>
      <protection hidden="1"/>
    </xf>
    <xf numFmtId="170" fontId="0" fillId="0" borderId="22" xfId="0" applyNumberFormat="1" applyFont="1" applyBorder="1" applyAlignment="1" applyProtection="1">
      <alignment/>
      <protection hidden="1"/>
    </xf>
    <xf numFmtId="167" fontId="0" fillId="0" borderId="22" xfId="0" applyNumberFormat="1" applyFont="1" applyBorder="1" applyAlignment="1" applyProtection="1">
      <alignment/>
      <protection hidden="1"/>
    </xf>
    <xf numFmtId="176" fontId="20" fillId="0" borderId="23" xfId="0" applyNumberFormat="1" applyFont="1" applyBorder="1" applyAlignment="1" applyProtection="1">
      <alignment/>
      <protection hidden="1"/>
    </xf>
    <xf numFmtId="0" fontId="0" fillId="0" borderId="24" xfId="0" applyFont="1" applyBorder="1" applyAlignment="1" applyProtection="1">
      <alignment vertical="center"/>
      <protection hidden="1"/>
    </xf>
    <xf numFmtId="0" fontId="0" fillId="0" borderId="24" xfId="0" applyFont="1" applyBorder="1" applyAlignment="1" applyProtection="1">
      <alignment/>
      <protection hidden="1"/>
    </xf>
    <xf numFmtId="170" fontId="0" fillId="0" borderId="24" xfId="0" applyNumberFormat="1" applyFont="1" applyBorder="1" applyAlignment="1" applyProtection="1">
      <alignment/>
      <protection hidden="1"/>
    </xf>
    <xf numFmtId="167" fontId="0" fillId="0" borderId="24" xfId="0" applyNumberFormat="1" applyFont="1" applyBorder="1" applyAlignment="1" applyProtection="1">
      <alignment/>
      <protection hidden="1"/>
    </xf>
    <xf numFmtId="0" fontId="39" fillId="0" borderId="0" xfId="0" applyFont="1" applyFill="1" applyAlignment="1" applyProtection="1">
      <alignment horizontal="center" vertical="center"/>
      <protection hidden="1"/>
    </xf>
    <xf numFmtId="9" fontId="0" fillId="0" borderId="19" xfId="68" applyFill="1" applyBorder="1" applyAlignment="1" applyProtection="1">
      <alignment/>
      <protection hidden="1"/>
    </xf>
    <xf numFmtId="176" fontId="0" fillId="0" borderId="19" xfId="0" applyNumberFormat="1" applyFont="1" applyBorder="1" applyAlignment="1" applyProtection="1">
      <alignment/>
      <protection hidden="1"/>
    </xf>
    <xf numFmtId="0" fontId="0" fillId="0" borderId="25" xfId="0" applyFont="1" applyBorder="1" applyAlignment="1" applyProtection="1">
      <alignment vertical="center"/>
      <protection hidden="1"/>
    </xf>
    <xf numFmtId="0" fontId="0" fillId="0" borderId="25" xfId="0" applyFont="1" applyBorder="1" applyAlignment="1" applyProtection="1">
      <alignment/>
      <protection hidden="1"/>
    </xf>
    <xf numFmtId="170" fontId="0" fillId="0" borderId="25" xfId="0" applyNumberFormat="1" applyFont="1" applyBorder="1" applyAlignment="1" applyProtection="1">
      <alignment/>
      <protection hidden="1"/>
    </xf>
    <xf numFmtId="167" fontId="0" fillId="0" borderId="25" xfId="0" applyNumberFormat="1" applyFont="1" applyBorder="1" applyAlignment="1" applyProtection="1">
      <alignment/>
      <protection hidden="1"/>
    </xf>
    <xf numFmtId="0" fontId="27" fillId="0" borderId="25" xfId="0" applyFont="1" applyBorder="1" applyAlignment="1" applyProtection="1">
      <alignment vertical="center"/>
      <protection hidden="1"/>
    </xf>
    <xf numFmtId="0" fontId="37" fillId="0" borderId="0" xfId="0" applyFont="1" applyFill="1" applyBorder="1" applyAlignment="1" applyProtection="1">
      <alignment horizontal="left"/>
      <protection hidden="1"/>
    </xf>
    <xf numFmtId="170" fontId="0" fillId="0" borderId="0" xfId="0" applyNumberFormat="1" applyAlignment="1" applyProtection="1">
      <alignment/>
      <protection hidden="1"/>
    </xf>
    <xf numFmtId="0" fontId="38" fillId="0" borderId="0" xfId="0" applyFont="1" applyFill="1" applyBorder="1" applyAlignment="1" applyProtection="1">
      <alignment horizontal="left"/>
      <protection hidden="1"/>
    </xf>
    <xf numFmtId="182" fontId="38" fillId="0" borderId="0" xfId="0" applyNumberFormat="1" applyFont="1" applyAlignment="1" applyProtection="1">
      <alignment/>
      <protection hidden="1"/>
    </xf>
    <xf numFmtId="183" fontId="20" fillId="0" borderId="0" xfId="0" applyNumberFormat="1" applyFont="1" applyAlignment="1" applyProtection="1">
      <alignment/>
      <protection hidden="1"/>
    </xf>
    <xf numFmtId="9" fontId="39" fillId="0" borderId="0" xfId="0" applyNumberFormat="1" applyFont="1" applyAlignment="1" applyProtection="1">
      <alignment horizontal="center" vertical="center"/>
      <protection hidden="1"/>
    </xf>
    <xf numFmtId="176" fontId="20" fillId="0" borderId="0" xfId="0" applyNumberFormat="1" applyFont="1" applyAlignment="1" applyProtection="1">
      <alignment/>
      <protection hidden="1"/>
    </xf>
    <xf numFmtId="0" fontId="28" fillId="0" borderId="0" xfId="0" applyFont="1" applyFill="1" applyBorder="1" applyAlignment="1" applyProtection="1">
      <alignment vertical="center"/>
      <protection hidden="1"/>
    </xf>
    <xf numFmtId="167" fontId="0" fillId="0" borderId="0" xfId="0" applyNumberFormat="1" applyFont="1" applyBorder="1" applyAlignment="1" applyProtection="1">
      <alignment/>
      <protection hidden="1"/>
    </xf>
    <xf numFmtId="0" fontId="20" fillId="0" borderId="0" xfId="0" applyFont="1" applyAlignment="1" applyProtection="1">
      <alignment vertical="center"/>
      <protection hidden="1"/>
    </xf>
    <xf numFmtId="3" fontId="0" fillId="2" borderId="0" xfId="0" applyNumberFormat="1" applyFont="1" applyFill="1" applyBorder="1" applyAlignment="1" applyProtection="1">
      <alignment vertical="center"/>
      <protection hidden="1"/>
    </xf>
    <xf numFmtId="4" fontId="0" fillId="0" borderId="0" xfId="66" applyNumberFormat="1" applyFont="1" applyFill="1" applyBorder="1" applyProtection="1">
      <alignment/>
      <protection hidden="1"/>
    </xf>
    <xf numFmtId="170" fontId="0" fillId="0" borderId="0" xfId="66" applyNumberFormat="1" applyFont="1" applyFill="1" applyBorder="1" applyProtection="1">
      <alignment/>
      <protection hidden="1"/>
    </xf>
    <xf numFmtId="167" fontId="0" fillId="0" borderId="0" xfId="66" applyNumberFormat="1" applyFont="1" applyFill="1" applyBorder="1" applyProtection="1">
      <alignment/>
      <protection hidden="1"/>
    </xf>
    <xf numFmtId="167" fontId="0" fillId="0" borderId="0" xfId="0" applyNumberFormat="1" applyFont="1" applyFill="1" applyBorder="1" applyAlignment="1" applyProtection="1">
      <alignment horizontal="left" vertical="top" wrapText="1"/>
      <protection hidden="1"/>
    </xf>
    <xf numFmtId="0" fontId="29" fillId="0" borderId="0" xfId="0" applyFont="1" applyBorder="1" applyAlignment="1" applyProtection="1">
      <alignment/>
      <protection hidden="1"/>
    </xf>
    <xf numFmtId="0" fontId="45" fillId="0" borderId="0" xfId="0" applyFont="1" applyFill="1" applyBorder="1" applyAlignment="1" applyProtection="1">
      <alignment horizontal="left"/>
      <protection hidden="1"/>
    </xf>
    <xf numFmtId="0" fontId="29" fillId="0" borderId="0" xfId="0" applyFont="1" applyFill="1" applyBorder="1" applyAlignment="1" applyProtection="1">
      <alignment horizontal="center"/>
      <protection hidden="1"/>
    </xf>
    <xf numFmtId="0" fontId="29" fillId="0" borderId="0" xfId="0" applyFont="1" applyAlignment="1" applyProtection="1">
      <alignment vertical="center"/>
      <protection hidden="1"/>
    </xf>
    <xf numFmtId="0" fontId="29" fillId="0" borderId="0" xfId="0" applyFont="1" applyAlignment="1" applyProtection="1">
      <alignment/>
      <protection hidden="1"/>
    </xf>
    <xf numFmtId="170" fontId="29" fillId="0" borderId="0" xfId="0" applyNumberFormat="1" applyFont="1" applyAlignment="1" applyProtection="1">
      <alignment/>
      <protection hidden="1"/>
    </xf>
    <xf numFmtId="167" fontId="29" fillId="0" borderId="0" xfId="0" applyNumberFormat="1" applyFont="1" applyAlignment="1" applyProtection="1">
      <alignment/>
      <protection hidden="1"/>
    </xf>
    <xf numFmtId="0" fontId="41" fillId="0" borderId="0" xfId="0" applyFont="1" applyAlignment="1" applyProtection="1">
      <alignment horizontal="center" vertical="center"/>
      <protection hidden="1"/>
    </xf>
    <xf numFmtId="0" fontId="45" fillId="0" borderId="0" xfId="0" applyFont="1" applyAlignment="1" applyProtection="1">
      <alignment/>
      <protection hidden="1"/>
    </xf>
    <xf numFmtId="0" fontId="29" fillId="0" borderId="0" xfId="0" applyFont="1" applyFill="1" applyAlignment="1" applyProtection="1">
      <alignment/>
      <protection hidden="1"/>
    </xf>
    <xf numFmtId="170" fontId="0" fillId="0" borderId="0" xfId="0" applyNumberFormat="1" applyFont="1" applyFill="1" applyBorder="1" applyAlignment="1" applyProtection="1">
      <alignment horizontal="left" vertical="top" wrapText="1"/>
      <protection hidden="1"/>
    </xf>
    <xf numFmtId="0" fontId="0" fillId="0" borderId="0" xfId="0" applyFont="1" applyFill="1" applyBorder="1" applyAlignment="1" applyProtection="1">
      <alignment/>
      <protection hidden="1"/>
    </xf>
    <xf numFmtId="170" fontId="0" fillId="0" borderId="0" xfId="0" applyNumberFormat="1" applyFont="1" applyFill="1" applyBorder="1" applyAlignment="1" applyProtection="1">
      <alignment/>
      <protection hidden="1"/>
    </xf>
    <xf numFmtId="4" fontId="0" fillId="0" borderId="0" xfId="0" applyNumberFormat="1" applyFont="1" applyFill="1" applyBorder="1" applyAlignment="1" applyProtection="1">
      <alignment/>
      <protection hidden="1"/>
    </xf>
    <xf numFmtId="0" fontId="0" fillId="0" borderId="0" xfId="66" applyFont="1" applyFill="1" applyBorder="1" applyAlignment="1" applyProtection="1">
      <alignment vertical="center"/>
      <protection hidden="1"/>
    </xf>
    <xf numFmtId="0" fontId="43" fillId="0" borderId="0" xfId="66" applyFont="1" applyFill="1" applyBorder="1" applyAlignment="1" applyProtection="1">
      <alignment horizontal="left" vertical="center"/>
      <protection hidden="1"/>
    </xf>
    <xf numFmtId="49" fontId="30" fillId="0" borderId="0" xfId="0" applyNumberFormat="1" applyFont="1" applyFill="1" applyBorder="1" applyAlignment="1" applyProtection="1">
      <alignment horizontal="center" vertical="center"/>
      <protection hidden="1"/>
    </xf>
    <xf numFmtId="3" fontId="33" fillId="0" borderId="0" xfId="0" applyNumberFormat="1" applyFont="1" applyFill="1" applyBorder="1" applyAlignment="1" applyProtection="1">
      <alignment horizontal="left" vertical="center" wrapText="1"/>
      <protection hidden="1"/>
    </xf>
    <xf numFmtId="3" fontId="1" fillId="0" borderId="0" xfId="0" applyNumberFormat="1" applyFont="1" applyFill="1" applyBorder="1" applyAlignment="1" applyProtection="1">
      <alignment horizontal="left" vertical="center" wrapText="1"/>
      <protection hidden="1"/>
    </xf>
    <xf numFmtId="3" fontId="1" fillId="0" borderId="26" xfId="0" applyNumberFormat="1" applyFont="1" applyFill="1" applyBorder="1" applyAlignment="1" applyProtection="1">
      <alignment horizontal="left" vertical="center" wrapText="1"/>
      <protection hidden="1"/>
    </xf>
    <xf numFmtId="3" fontId="1" fillId="0" borderId="27" xfId="0" applyNumberFormat="1" applyFont="1" applyFill="1" applyBorder="1" applyAlignment="1" applyProtection="1">
      <alignment horizontal="left" vertical="center" wrapText="1"/>
      <protection hidden="1"/>
    </xf>
    <xf numFmtId="0" fontId="0" fillId="0" borderId="0" xfId="0" applyAlignment="1" applyProtection="1">
      <alignment horizontal="left"/>
      <protection hidden="1"/>
    </xf>
    <xf numFmtId="0" fontId="0" fillId="0" borderId="0" xfId="0" applyAlignment="1" applyProtection="1">
      <alignment horizontal="center"/>
      <protection hidden="1"/>
    </xf>
    <xf numFmtId="0" fontId="23" fillId="0" borderId="0" xfId="0" applyFont="1" applyBorder="1" applyAlignment="1" applyProtection="1">
      <alignment vertical="center"/>
      <protection hidden="1"/>
    </xf>
    <xf numFmtId="0" fontId="0" fillId="0" borderId="0" xfId="0" applyBorder="1" applyAlignment="1" applyProtection="1">
      <alignment/>
      <protection hidden="1"/>
    </xf>
    <xf numFmtId="2" fontId="0" fillId="0" borderId="0" xfId="0" applyNumberFormat="1" applyBorder="1" applyAlignment="1" applyProtection="1">
      <alignment/>
      <protection hidden="1"/>
    </xf>
    <xf numFmtId="167" fontId="0" fillId="0" borderId="0" xfId="0" applyNumberFormat="1" applyBorder="1" applyAlignment="1" applyProtection="1">
      <alignment/>
      <protection hidden="1"/>
    </xf>
    <xf numFmtId="0" fontId="24" fillId="0" borderId="0" xfId="0" applyFont="1" applyBorder="1" applyAlignment="1" applyProtection="1">
      <alignment horizontal="right"/>
      <protection hidden="1"/>
    </xf>
    <xf numFmtId="0" fontId="26" fillId="0" borderId="0" xfId="0" applyFont="1" applyAlignment="1" applyProtection="1">
      <alignment horizontal="center" vertical="center"/>
      <protection hidden="1"/>
    </xf>
    <xf numFmtId="0" fontId="25" fillId="19" borderId="26" xfId="54" applyNumberFormat="1" applyFill="1" applyBorder="1" applyAlignment="1" applyProtection="1">
      <alignment vertical="center"/>
      <protection hidden="1"/>
    </xf>
    <xf numFmtId="0" fontId="20" fillId="20" borderId="26" xfId="0" applyFont="1" applyFill="1" applyBorder="1" applyAlignment="1" applyProtection="1">
      <alignment horizontal="left"/>
      <protection hidden="1"/>
    </xf>
    <xf numFmtId="2" fontId="20" fillId="20" borderId="26" xfId="0" applyNumberFormat="1" applyFont="1" applyFill="1" applyBorder="1" applyAlignment="1" applyProtection="1">
      <alignment horizontal="right"/>
      <protection hidden="1"/>
    </xf>
    <xf numFmtId="0" fontId="20" fillId="20" borderId="26" xfId="0" applyFont="1" applyFill="1" applyBorder="1" applyAlignment="1" applyProtection="1">
      <alignment horizontal="right"/>
      <protection hidden="1"/>
    </xf>
    <xf numFmtId="0" fontId="25" fillId="19" borderId="0" xfId="54" applyNumberFormat="1" applyFill="1" applyBorder="1" applyAlignment="1" applyProtection="1">
      <alignment vertical="center"/>
      <protection hidden="1"/>
    </xf>
    <xf numFmtId="0" fontId="20" fillId="20" borderId="0" xfId="0" applyFont="1" applyFill="1" applyAlignment="1" applyProtection="1">
      <alignment horizontal="left"/>
      <protection hidden="1"/>
    </xf>
    <xf numFmtId="2" fontId="20" fillId="20" borderId="0" xfId="0" applyNumberFormat="1" applyFont="1" applyFill="1" applyAlignment="1" applyProtection="1">
      <alignment horizontal="right"/>
      <protection hidden="1"/>
    </xf>
    <xf numFmtId="0" fontId="20" fillId="20" borderId="0" xfId="0" applyFont="1" applyFill="1" applyAlignment="1" applyProtection="1">
      <alignment horizontal="right"/>
      <protection hidden="1"/>
    </xf>
    <xf numFmtId="0" fontId="1" fillId="0" borderId="0" xfId="66" applyFont="1" applyAlignment="1" applyProtection="1">
      <alignment horizontal="left" vertical="center"/>
      <protection hidden="1"/>
    </xf>
    <xf numFmtId="2" fontId="1" fillId="0" borderId="9" xfId="0" applyNumberFormat="1" applyFont="1" applyBorder="1" applyAlignment="1" applyProtection="1">
      <alignment horizontal="right" vertical="center"/>
      <protection hidden="1"/>
    </xf>
    <xf numFmtId="0" fontId="21" fillId="0" borderId="0" xfId="66" applyFont="1" applyAlignment="1" applyProtection="1">
      <alignment vertical="center" wrapText="1"/>
      <protection hidden="1"/>
    </xf>
    <xf numFmtId="0" fontId="0" fillId="0" borderId="0" xfId="66" applyFont="1" applyProtection="1">
      <alignment/>
      <protection hidden="1"/>
    </xf>
    <xf numFmtId="2" fontId="0" fillId="0" borderId="0" xfId="0" applyNumberFormat="1" applyAlignment="1" applyProtection="1">
      <alignment/>
      <protection hidden="1"/>
    </xf>
    <xf numFmtId="167" fontId="0" fillId="0" borderId="0" xfId="0" applyNumberFormat="1" applyAlignment="1" applyProtection="1">
      <alignment/>
      <protection hidden="1"/>
    </xf>
    <xf numFmtId="3" fontId="0" fillId="0" borderId="0" xfId="0" applyNumberFormat="1" applyAlignment="1" applyProtection="1">
      <alignment/>
      <protection hidden="1"/>
    </xf>
    <xf numFmtId="3" fontId="33" fillId="0" borderId="0" xfId="0" applyNumberFormat="1" applyFont="1" applyAlignment="1" applyProtection="1">
      <alignment horizontal="left" vertical="center" wrapText="1"/>
      <protection hidden="1"/>
    </xf>
    <xf numFmtId="0" fontId="20" fillId="6" borderId="28" xfId="66" applyFont="1" applyFill="1" applyBorder="1" applyAlignment="1" applyProtection="1">
      <alignment vertical="center" wrapText="1"/>
      <protection hidden="1"/>
    </xf>
    <xf numFmtId="0" fontId="0" fillId="6" borderId="29" xfId="66" applyFont="1" applyFill="1" applyBorder="1" applyProtection="1">
      <alignment/>
      <protection hidden="1"/>
    </xf>
    <xf numFmtId="2" fontId="0" fillId="6" borderId="29" xfId="0" applyNumberFormat="1" applyFill="1" applyBorder="1" applyAlignment="1" applyProtection="1">
      <alignment/>
      <protection hidden="1"/>
    </xf>
    <xf numFmtId="167" fontId="0" fillId="6" borderId="29" xfId="0" applyNumberFormat="1" applyFill="1" applyBorder="1" applyAlignment="1" applyProtection="1">
      <alignment/>
      <protection hidden="1"/>
    </xf>
    <xf numFmtId="176" fontId="1" fillId="6" borderId="23" xfId="0" applyNumberFormat="1" applyFont="1" applyFill="1" applyBorder="1" applyAlignment="1" applyProtection="1">
      <alignment/>
      <protection hidden="1"/>
    </xf>
    <xf numFmtId="0" fontId="20" fillId="0" borderId="0" xfId="66" applyFont="1" applyFill="1" applyBorder="1" applyAlignment="1" applyProtection="1">
      <alignment vertical="center" wrapText="1"/>
      <protection hidden="1"/>
    </xf>
    <xf numFmtId="0" fontId="0" fillId="0" borderId="0" xfId="66" applyFont="1" applyFill="1" applyBorder="1" applyProtection="1">
      <alignment/>
      <protection hidden="1"/>
    </xf>
    <xf numFmtId="2" fontId="0" fillId="0" borderId="0" xfId="0" applyNumberFormat="1" applyFill="1" applyBorder="1" applyAlignment="1" applyProtection="1">
      <alignment/>
      <protection hidden="1"/>
    </xf>
    <xf numFmtId="167" fontId="0" fillId="0" borderId="0" xfId="0" applyNumberFormat="1" applyFill="1" applyBorder="1" applyAlignment="1" applyProtection="1">
      <alignment/>
      <protection hidden="1"/>
    </xf>
    <xf numFmtId="176" fontId="1" fillId="0" borderId="0" xfId="0" applyNumberFormat="1" applyFont="1" applyFill="1" applyBorder="1" applyAlignment="1" applyProtection="1">
      <alignment/>
      <protection hidden="1"/>
    </xf>
    <xf numFmtId="170" fontId="55" fillId="0" borderId="11" xfId="0" applyNumberFormat="1" applyFont="1" applyBorder="1" applyAlignment="1" applyProtection="1">
      <alignment horizontal="left"/>
      <protection hidden="1"/>
    </xf>
    <xf numFmtId="3" fontId="0" fillId="0" borderId="0" xfId="0" applyNumberFormat="1" applyFont="1" applyFill="1" applyBorder="1" applyAlignment="1" applyProtection="1">
      <alignment horizontal="center" vertical="center"/>
      <protection hidden="1"/>
    </xf>
    <xf numFmtId="0" fontId="30" fillId="0" borderId="0" xfId="66" applyFont="1" applyFill="1" applyBorder="1" applyAlignment="1" applyProtection="1">
      <alignment vertical="center"/>
      <protection hidden="1"/>
    </xf>
    <xf numFmtId="0" fontId="46" fillId="0" borderId="0" xfId="66" applyFont="1" applyFill="1" applyBorder="1" applyAlignment="1" applyProtection="1">
      <alignment horizontal="left" vertical="center"/>
      <protection hidden="1"/>
    </xf>
    <xf numFmtId="0" fontId="26" fillId="0" borderId="0" xfId="0" applyNumberFormat="1" applyFont="1" applyFill="1" applyBorder="1" applyAlignment="1" applyProtection="1">
      <alignment horizontal="center" vertical="center"/>
      <protection hidden="1"/>
    </xf>
    <xf numFmtId="0" fontId="42" fillId="0" borderId="0" xfId="0" applyFont="1" applyFill="1" applyAlignment="1" applyProtection="1">
      <alignment horizontal="center" vertical="center"/>
      <protection hidden="1"/>
    </xf>
    <xf numFmtId="0" fontId="46" fillId="0" borderId="0" xfId="0" applyFont="1" applyAlignment="1" applyProtection="1">
      <alignment/>
      <protection hidden="1"/>
    </xf>
    <xf numFmtId="0" fontId="30" fillId="0" borderId="0" xfId="0" applyFont="1" applyFill="1" applyAlignment="1" applyProtection="1">
      <alignment/>
      <protection hidden="1"/>
    </xf>
    <xf numFmtId="0" fontId="30" fillId="0" borderId="0" xfId="0" applyFont="1" applyAlignment="1" applyProtection="1">
      <alignment/>
      <protection hidden="1"/>
    </xf>
    <xf numFmtId="0" fontId="1" fillId="0" borderId="0" xfId="66" applyFont="1" applyFill="1" applyBorder="1" applyAlignment="1" applyProtection="1">
      <alignment vertical="center"/>
      <protection hidden="1"/>
    </xf>
    <xf numFmtId="0" fontId="49" fillId="0" borderId="0" xfId="66" applyFont="1" applyFill="1" applyBorder="1" applyAlignment="1" applyProtection="1">
      <alignment horizontal="left" vertical="center"/>
      <protection hidden="1"/>
    </xf>
    <xf numFmtId="3" fontId="1" fillId="0" borderId="0" xfId="0" applyNumberFormat="1" applyFont="1" applyFill="1" applyBorder="1" applyAlignment="1" applyProtection="1">
      <alignment horizontal="center" vertical="center"/>
      <protection hidden="1"/>
    </xf>
    <xf numFmtId="3" fontId="1" fillId="0" borderId="9" xfId="0" applyNumberFormat="1" applyFont="1" applyFill="1" applyBorder="1" applyAlignment="1" applyProtection="1">
      <alignment horizontal="left" vertical="center" wrapText="1"/>
      <protection hidden="1"/>
    </xf>
    <xf numFmtId="3" fontId="1" fillId="0" borderId="9" xfId="0" applyNumberFormat="1" applyFont="1" applyFill="1" applyBorder="1" applyAlignment="1" applyProtection="1">
      <alignment horizontal="left" vertical="center"/>
      <protection hidden="1"/>
    </xf>
    <xf numFmtId="177" fontId="1" fillId="0" borderId="9" xfId="0" applyNumberFormat="1" applyFont="1" applyFill="1" applyBorder="1" applyAlignment="1" applyProtection="1">
      <alignment vertical="center"/>
      <protection hidden="1"/>
    </xf>
    <xf numFmtId="0" fontId="49" fillId="0" borderId="0" xfId="66" applyFont="1" applyAlignment="1" applyProtection="1">
      <alignment vertical="center"/>
      <protection hidden="1"/>
    </xf>
    <xf numFmtId="0" fontId="1" fillId="0" borderId="0" xfId="66" applyFont="1" applyAlignment="1" applyProtection="1">
      <alignment vertical="center"/>
      <protection hidden="1"/>
    </xf>
    <xf numFmtId="0" fontId="49" fillId="0" borderId="0" xfId="66" applyFont="1" applyFill="1" applyBorder="1" applyAlignment="1" applyProtection="1">
      <alignment horizontal="left" vertical="center"/>
      <protection hidden="1"/>
    </xf>
    <xf numFmtId="3" fontId="1" fillId="17" borderId="0" xfId="0" applyNumberFormat="1" applyFont="1" applyFill="1" applyBorder="1" applyAlignment="1" applyProtection="1">
      <alignment horizontal="center" vertical="center"/>
      <protection hidden="1"/>
    </xf>
    <xf numFmtId="0" fontId="43" fillId="0" borderId="0" xfId="0" applyFont="1" applyAlignment="1" applyProtection="1">
      <alignment vertical="center"/>
      <protection hidden="1"/>
    </xf>
    <xf numFmtId="170" fontId="0" fillId="0" borderId="0" xfId="0" applyNumberFormat="1" applyFont="1" applyFill="1" applyAlignment="1" applyProtection="1">
      <alignment/>
      <protection hidden="1"/>
    </xf>
    <xf numFmtId="3" fontId="57" fillId="0" borderId="0" xfId="0" applyNumberFormat="1" applyFont="1" applyAlignment="1" applyProtection="1">
      <alignment horizontal="center" vertical="center"/>
      <protection hidden="1"/>
    </xf>
    <xf numFmtId="0" fontId="43" fillId="0" borderId="0" xfId="0" applyFont="1" applyAlignment="1" applyProtection="1">
      <alignment horizontal="left" vertical="center"/>
      <protection hidden="1"/>
    </xf>
    <xf numFmtId="0" fontId="43" fillId="17" borderId="0" xfId="0" applyFont="1" applyFill="1" applyAlignment="1" applyProtection="1">
      <alignment/>
      <protection hidden="1"/>
    </xf>
    <xf numFmtId="0" fontId="49" fillId="0" borderId="0" xfId="66" applyFont="1" applyFill="1" applyAlignment="1" applyProtection="1">
      <alignment vertical="center"/>
      <protection hidden="1"/>
    </xf>
    <xf numFmtId="3" fontId="57" fillId="17" borderId="0" xfId="0" applyNumberFormat="1" applyFont="1" applyFill="1" applyAlignment="1" applyProtection="1">
      <alignment horizontal="center" vertical="center"/>
      <protection hidden="1"/>
    </xf>
    <xf numFmtId="170" fontId="20" fillId="0" borderId="0" xfId="0" applyNumberFormat="1" applyFont="1" applyAlignment="1" applyProtection="1">
      <alignment/>
      <protection hidden="1"/>
    </xf>
    <xf numFmtId="0" fontId="31" fillId="6" borderId="28" xfId="66" applyFont="1" applyFill="1" applyBorder="1" applyAlignment="1" applyProtection="1">
      <alignment vertical="center" wrapText="1"/>
      <protection hidden="1"/>
    </xf>
    <xf numFmtId="0" fontId="1" fillId="6" borderId="29" xfId="66" applyFont="1" applyFill="1" applyBorder="1" applyProtection="1">
      <alignment/>
      <protection hidden="1"/>
    </xf>
    <xf numFmtId="170" fontId="1" fillId="6" borderId="29" xfId="0" applyNumberFormat="1" applyFont="1" applyFill="1" applyBorder="1" applyAlignment="1" applyProtection="1">
      <alignment/>
      <protection hidden="1"/>
    </xf>
    <xf numFmtId="177" fontId="1" fillId="6" borderId="29" xfId="0" applyNumberFormat="1" applyFont="1" applyFill="1" applyBorder="1" applyAlignment="1" applyProtection="1">
      <alignment/>
      <protection hidden="1"/>
    </xf>
    <xf numFmtId="177" fontId="1" fillId="6" borderId="23" xfId="0" applyNumberFormat="1" applyFont="1" applyFill="1" applyBorder="1" applyAlignment="1" applyProtection="1">
      <alignment/>
      <protection hidden="1"/>
    </xf>
    <xf numFmtId="0" fontId="0" fillId="0" borderId="0" xfId="66" applyFont="1" applyFill="1" applyBorder="1" applyAlignment="1" applyProtection="1">
      <alignment vertical="center" wrapText="1"/>
      <protection hidden="1"/>
    </xf>
    <xf numFmtId="3" fontId="0" fillId="0" borderId="0" xfId="0" applyNumberFormat="1" applyFont="1" applyBorder="1" applyAlignment="1" applyProtection="1">
      <alignment/>
      <protection hidden="1"/>
    </xf>
    <xf numFmtId="170" fontId="25" fillId="19" borderId="26" xfId="54" applyNumberFormat="1" applyFill="1" applyBorder="1" applyAlignment="1" applyProtection="1">
      <alignment vertical="center"/>
      <protection hidden="1"/>
    </xf>
    <xf numFmtId="0" fontId="26" fillId="0" borderId="0" xfId="0" applyNumberFormat="1" applyFont="1" applyFill="1" applyBorder="1" applyAlignment="1" applyProtection="1">
      <alignment horizontal="center" vertical="center"/>
      <protection hidden="1"/>
    </xf>
    <xf numFmtId="167" fontId="43" fillId="0" borderId="0" xfId="0" applyNumberFormat="1" applyFont="1" applyBorder="1" applyAlignment="1" applyProtection="1">
      <alignment/>
      <protection hidden="1"/>
    </xf>
    <xf numFmtId="167" fontId="47" fillId="0" borderId="9" xfId="0" applyNumberFormat="1" applyFont="1" applyBorder="1" applyAlignment="1" applyProtection="1">
      <alignment horizontal="left" vertical="center"/>
      <protection hidden="1"/>
    </xf>
    <xf numFmtId="170" fontId="47" fillId="0" borderId="9" xfId="0" applyNumberFormat="1" applyFont="1" applyBorder="1" applyAlignment="1" applyProtection="1">
      <alignment horizontal="left" vertical="center"/>
      <protection hidden="1"/>
    </xf>
    <xf numFmtId="167" fontId="43" fillId="17" borderId="0" xfId="0" applyNumberFormat="1" applyFont="1" applyFill="1" applyBorder="1" applyAlignment="1" applyProtection="1">
      <alignment/>
      <protection hidden="1"/>
    </xf>
    <xf numFmtId="167" fontId="43" fillId="17" borderId="0" xfId="0" applyNumberFormat="1" applyFont="1" applyFill="1" applyBorder="1" applyAlignment="1" applyProtection="1">
      <alignment/>
      <protection hidden="1"/>
    </xf>
    <xf numFmtId="167" fontId="1" fillId="0" borderId="0" xfId="0" applyNumberFormat="1" applyFont="1" applyFill="1" applyBorder="1" applyAlignment="1" applyProtection="1">
      <alignment horizontal="right" vertical="center"/>
      <protection hidden="1"/>
    </xf>
    <xf numFmtId="0" fontId="49" fillId="0" borderId="0" xfId="66" applyFont="1" applyFill="1" applyAlignment="1" applyProtection="1">
      <alignment horizontal="left" vertical="center"/>
      <protection hidden="1"/>
    </xf>
    <xf numFmtId="167" fontId="43" fillId="0" borderId="0" xfId="0" applyNumberFormat="1" applyFont="1" applyAlignment="1" applyProtection="1">
      <alignment/>
      <protection hidden="1"/>
    </xf>
    <xf numFmtId="0" fontId="49" fillId="0" borderId="0" xfId="66" applyFont="1" applyFill="1" applyAlignment="1" applyProtection="1">
      <alignment horizontal="left" vertical="center"/>
      <protection hidden="1"/>
    </xf>
    <xf numFmtId="3" fontId="36" fillId="0" borderId="0" xfId="0" applyNumberFormat="1" applyFont="1" applyAlignment="1" applyProtection="1">
      <alignment horizontal="center" vertical="center"/>
      <protection hidden="1"/>
    </xf>
    <xf numFmtId="3" fontId="36" fillId="0" borderId="9" xfId="0" applyNumberFormat="1" applyFont="1" applyBorder="1" applyAlignment="1" applyProtection="1">
      <alignment horizontal="left" vertical="center" wrapText="1"/>
      <protection hidden="1"/>
    </xf>
    <xf numFmtId="3" fontId="36" fillId="0" borderId="9" xfId="0" applyNumberFormat="1" applyFont="1" applyBorder="1" applyAlignment="1" applyProtection="1">
      <alignment horizontal="left" vertical="center"/>
      <protection hidden="1"/>
    </xf>
    <xf numFmtId="177" fontId="36" fillId="0" borderId="9" xfId="0" applyNumberFormat="1" applyFont="1" applyBorder="1" applyAlignment="1" applyProtection="1">
      <alignment vertical="center"/>
      <protection hidden="1"/>
    </xf>
    <xf numFmtId="0" fontId="25" fillId="0" borderId="0" xfId="54" applyAlignment="1" applyProtection="1">
      <alignment/>
      <protection hidden="1"/>
    </xf>
    <xf numFmtId="3" fontId="36" fillId="0" borderId="0" xfId="0" applyNumberFormat="1" applyFont="1" applyFill="1" applyBorder="1" applyAlignment="1" applyProtection="1">
      <alignment horizontal="center" vertical="center"/>
      <protection hidden="1"/>
    </xf>
    <xf numFmtId="3" fontId="36" fillId="0" borderId="9" xfId="0" applyNumberFormat="1" applyFont="1" applyFill="1" applyBorder="1" applyAlignment="1" applyProtection="1">
      <alignment horizontal="left" vertical="center" wrapText="1"/>
      <protection hidden="1"/>
    </xf>
    <xf numFmtId="3" fontId="36" fillId="0" borderId="9" xfId="0" applyNumberFormat="1" applyFont="1" applyFill="1" applyBorder="1" applyAlignment="1" applyProtection="1">
      <alignment horizontal="left" vertical="center"/>
      <protection hidden="1"/>
    </xf>
    <xf numFmtId="177" fontId="36" fillId="0" borderId="9" xfId="0" applyNumberFormat="1" applyFont="1" applyFill="1" applyBorder="1" applyAlignment="1" applyProtection="1">
      <alignment vertical="center"/>
      <protection hidden="1"/>
    </xf>
    <xf numFmtId="0" fontId="0" fillId="0" borderId="10" xfId="66" applyFont="1" applyFill="1" applyBorder="1" applyAlignment="1" applyProtection="1">
      <alignment vertical="center" wrapText="1"/>
      <protection hidden="1"/>
    </xf>
    <xf numFmtId="170" fontId="0" fillId="6" borderId="29" xfId="0" applyNumberFormat="1" applyFont="1" applyFill="1" applyBorder="1" applyAlignment="1" applyProtection="1">
      <alignment/>
      <protection hidden="1"/>
    </xf>
    <xf numFmtId="167" fontId="0" fillId="6" borderId="29" xfId="0" applyNumberFormat="1" applyFont="1" applyFill="1" applyBorder="1" applyAlignment="1" applyProtection="1">
      <alignment/>
      <protection hidden="1"/>
    </xf>
    <xf numFmtId="0" fontId="25" fillId="19" borderId="26" xfId="54" applyNumberFormat="1" applyFont="1" applyFill="1" applyBorder="1" applyAlignment="1" applyProtection="1">
      <alignment vertical="center"/>
      <protection hidden="1"/>
    </xf>
    <xf numFmtId="3" fontId="33" fillId="21" borderId="26" xfId="0" applyNumberFormat="1" applyFont="1" applyFill="1" applyBorder="1" applyAlignment="1" applyProtection="1">
      <alignment vertical="center" wrapText="1"/>
      <protection hidden="1"/>
    </xf>
    <xf numFmtId="0" fontId="0" fillId="0" borderId="0" xfId="0" applyFill="1" applyAlignment="1" applyProtection="1">
      <alignment/>
      <protection hidden="1"/>
    </xf>
    <xf numFmtId="0" fontId="43" fillId="0" borderId="0" xfId="0" applyFont="1" applyFill="1" applyAlignment="1" applyProtection="1">
      <alignment/>
      <protection hidden="1"/>
    </xf>
    <xf numFmtId="177" fontId="43" fillId="0" borderId="0" xfId="0" applyNumberFormat="1" applyFont="1" applyFill="1" applyAlignment="1" applyProtection="1">
      <alignment/>
      <protection hidden="1"/>
    </xf>
    <xf numFmtId="167" fontId="39" fillId="0" borderId="0" xfId="0" applyNumberFormat="1" applyFont="1" applyFill="1" applyBorder="1" applyAlignment="1" applyProtection="1">
      <alignment horizontal="center" vertical="center"/>
      <protection hidden="1"/>
    </xf>
    <xf numFmtId="3" fontId="1" fillId="0" borderId="0" xfId="0" applyNumberFormat="1" applyFont="1" applyFill="1" applyBorder="1" applyAlignment="1" applyProtection="1">
      <alignment horizontal="left" vertical="center"/>
      <protection hidden="1"/>
    </xf>
    <xf numFmtId="177" fontId="1" fillId="0" borderId="0" xfId="0" applyNumberFormat="1" applyFont="1" applyFill="1" applyBorder="1" applyAlignment="1" applyProtection="1">
      <alignment vertical="center"/>
      <protection hidden="1"/>
    </xf>
    <xf numFmtId="3" fontId="1" fillId="21" borderId="26" xfId="0" applyNumberFormat="1" applyFont="1" applyFill="1" applyBorder="1" applyAlignment="1" applyProtection="1">
      <alignment vertical="center" wrapText="1"/>
      <protection hidden="1"/>
    </xf>
    <xf numFmtId="167" fontId="47" fillId="0" borderId="9" xfId="0" applyNumberFormat="1" applyFont="1" applyBorder="1" applyAlignment="1" applyProtection="1">
      <alignment horizontal="left" vertical="center" wrapText="1"/>
      <protection hidden="1"/>
    </xf>
    <xf numFmtId="167" fontId="47" fillId="0" borderId="9" xfId="0" applyNumberFormat="1" applyFont="1" applyFill="1" applyBorder="1" applyAlignment="1" applyProtection="1">
      <alignment horizontal="left" vertical="center" wrapText="1"/>
      <protection hidden="1"/>
    </xf>
    <xf numFmtId="167" fontId="39" fillId="0" borderId="0" xfId="0" applyNumberFormat="1" applyFont="1" applyAlignment="1" applyProtection="1">
      <alignment horizontal="center" vertical="center"/>
      <protection hidden="1"/>
    </xf>
    <xf numFmtId="167" fontId="47" fillId="0" borderId="9" xfId="0" applyNumberFormat="1" applyFont="1" applyFill="1" applyBorder="1" applyAlignment="1" applyProtection="1">
      <alignment horizontal="left" vertical="center"/>
      <protection hidden="1"/>
    </xf>
    <xf numFmtId="170" fontId="47" fillId="0" borderId="9" xfId="0" applyNumberFormat="1" applyFont="1" applyFill="1" applyBorder="1" applyAlignment="1" applyProtection="1">
      <alignment horizontal="left" vertical="center"/>
      <protection hidden="1"/>
    </xf>
    <xf numFmtId="0" fontId="49" fillId="17" borderId="0" xfId="66" applyFont="1" applyFill="1" applyBorder="1" applyAlignment="1" applyProtection="1">
      <alignment horizontal="left" vertical="center"/>
      <protection hidden="1"/>
    </xf>
    <xf numFmtId="177" fontId="43" fillId="0" borderId="0" xfId="0" applyNumberFormat="1" applyFont="1" applyAlignment="1" applyProtection="1">
      <alignment/>
      <protection hidden="1"/>
    </xf>
    <xf numFmtId="3" fontId="36" fillId="22" borderId="0" xfId="0" applyNumberFormat="1" applyFont="1" applyFill="1" applyAlignment="1" applyProtection="1">
      <alignment horizontal="center" vertical="center"/>
      <protection hidden="1"/>
    </xf>
    <xf numFmtId="3" fontId="56" fillId="0" borderId="9" xfId="0" applyNumberFormat="1" applyFont="1" applyBorder="1" applyAlignment="1" applyProtection="1">
      <alignment horizontal="left" vertical="center" wrapText="1"/>
      <protection hidden="1"/>
    </xf>
    <xf numFmtId="177" fontId="56" fillId="0" borderId="9" xfId="0" applyNumberFormat="1" applyFont="1" applyFill="1" applyBorder="1" applyAlignment="1" applyProtection="1">
      <alignment vertical="center"/>
      <protection hidden="1"/>
    </xf>
    <xf numFmtId="3" fontId="36" fillId="17" borderId="0" xfId="0" applyNumberFormat="1" applyFont="1" applyFill="1" applyAlignment="1" applyProtection="1">
      <alignment horizontal="center" vertical="center"/>
      <protection hidden="1"/>
    </xf>
    <xf numFmtId="177" fontId="0" fillId="0" borderId="0" xfId="0" applyNumberFormat="1" applyFont="1" applyFill="1" applyAlignment="1" applyProtection="1">
      <alignment/>
      <protection hidden="1"/>
    </xf>
    <xf numFmtId="3" fontId="1" fillId="21" borderId="27" xfId="0" applyNumberFormat="1" applyFont="1" applyFill="1" applyBorder="1" applyAlignment="1" applyProtection="1">
      <alignment vertical="center" wrapText="1"/>
      <protection hidden="1"/>
    </xf>
    <xf numFmtId="0" fontId="49" fillId="17" borderId="0" xfId="66" applyFont="1" applyFill="1" applyAlignment="1" applyProtection="1">
      <alignment horizontal="left" vertical="center"/>
      <protection hidden="1"/>
    </xf>
    <xf numFmtId="0" fontId="49" fillId="0" borderId="0" xfId="66" applyFont="1" applyAlignment="1" applyProtection="1">
      <alignment horizontal="left" vertical="center"/>
      <protection hidden="1"/>
    </xf>
    <xf numFmtId="0" fontId="51" fillId="6" borderId="28" xfId="66" applyFont="1" applyFill="1" applyBorder="1" applyAlignment="1" applyProtection="1">
      <alignment vertical="center" wrapText="1"/>
      <protection hidden="1"/>
    </xf>
    <xf numFmtId="0" fontId="52" fillId="6" borderId="29" xfId="66" applyFont="1" applyFill="1" applyBorder="1" applyAlignment="1" applyProtection="1">
      <alignment vertical="center"/>
      <protection hidden="1"/>
    </xf>
    <xf numFmtId="170" fontId="52" fillId="6" borderId="29" xfId="0" applyNumberFormat="1" applyFont="1" applyFill="1" applyBorder="1" applyAlignment="1" applyProtection="1">
      <alignment vertical="center"/>
      <protection hidden="1"/>
    </xf>
    <xf numFmtId="177" fontId="52" fillId="6" borderId="29" xfId="0" applyNumberFormat="1" applyFont="1" applyFill="1" applyBorder="1" applyAlignment="1" applyProtection="1">
      <alignment vertical="center"/>
      <protection hidden="1"/>
    </xf>
    <xf numFmtId="176" fontId="51" fillId="6" borderId="23" xfId="0" applyNumberFormat="1" applyFont="1" applyFill="1" applyBorder="1" applyAlignment="1" applyProtection="1">
      <alignment vertical="center"/>
      <protection hidden="1"/>
    </xf>
    <xf numFmtId="0" fontId="43" fillId="0" borderId="0" xfId="0" applyFont="1" applyBorder="1" applyAlignment="1" applyProtection="1">
      <alignment horizontal="left" vertical="center"/>
      <protection hidden="1"/>
    </xf>
    <xf numFmtId="0" fontId="0" fillId="0" borderId="10" xfId="66" applyFont="1" applyFill="1" applyBorder="1" applyAlignment="1" applyProtection="1">
      <alignment vertical="center" wrapText="1"/>
      <protection hidden="1"/>
    </xf>
    <xf numFmtId="0" fontId="43" fillId="0" borderId="0" xfId="0" applyFont="1" applyFill="1" applyAlignment="1" applyProtection="1">
      <alignment horizontal="left"/>
      <protection hidden="1"/>
    </xf>
    <xf numFmtId="0" fontId="0" fillId="0" borderId="10" xfId="66" applyFont="1" applyBorder="1" applyAlignment="1" applyProtection="1">
      <alignment vertical="center" wrapText="1"/>
      <protection hidden="1"/>
    </xf>
    <xf numFmtId="0" fontId="0" fillId="0" borderId="10" xfId="66" applyFont="1" applyBorder="1" applyAlignment="1" applyProtection="1">
      <alignment vertical="center" wrapText="1"/>
      <protection hidden="1"/>
    </xf>
    <xf numFmtId="0" fontId="25" fillId="19" borderId="30" xfId="54" applyNumberFormat="1" applyFill="1" applyBorder="1" applyAlignment="1" applyProtection="1">
      <alignment vertical="center"/>
      <protection hidden="1"/>
    </xf>
    <xf numFmtId="170" fontId="25" fillId="19" borderId="30" xfId="54" applyNumberFormat="1" applyFill="1" applyBorder="1" applyAlignment="1" applyProtection="1">
      <alignment vertical="center"/>
      <protection hidden="1"/>
    </xf>
    <xf numFmtId="3" fontId="36" fillId="0" borderId="0" xfId="0" applyNumberFormat="1" applyFont="1" applyFill="1" applyAlignment="1" applyProtection="1">
      <alignment horizontal="center" vertical="center"/>
      <protection hidden="1"/>
    </xf>
    <xf numFmtId="3" fontId="1" fillId="0" borderId="0" xfId="0" applyNumberFormat="1" applyFont="1" applyAlignment="1" applyProtection="1">
      <alignment horizontal="left" vertical="center"/>
      <protection hidden="1"/>
    </xf>
    <xf numFmtId="177" fontId="1" fillId="0" borderId="0" xfId="0" applyNumberFormat="1" applyFont="1" applyAlignment="1" applyProtection="1">
      <alignment vertical="center"/>
      <protection hidden="1"/>
    </xf>
    <xf numFmtId="0" fontId="26" fillId="0" borderId="0" xfId="0" applyFont="1" applyFill="1" applyAlignment="1" applyProtection="1">
      <alignment horizontal="center" vertical="center"/>
      <protection hidden="1"/>
    </xf>
    <xf numFmtId="0" fontId="25" fillId="19" borderId="26" xfId="54" applyFont="1" applyFill="1" applyBorder="1" applyAlignment="1" applyProtection="1">
      <alignment vertical="center"/>
      <protection hidden="1"/>
    </xf>
    <xf numFmtId="0" fontId="25" fillId="19" borderId="26" xfId="54" applyFill="1" applyBorder="1" applyAlignment="1" applyProtection="1">
      <alignment vertical="center"/>
      <protection hidden="1"/>
    </xf>
    <xf numFmtId="0" fontId="26" fillId="0" borderId="0" xfId="0" applyFont="1" applyFill="1" applyAlignment="1" applyProtection="1">
      <alignment horizontal="center" vertical="center"/>
      <protection hidden="1"/>
    </xf>
    <xf numFmtId="0" fontId="39" fillId="0" borderId="0" xfId="0" applyFont="1" applyAlignment="1" applyProtection="1">
      <alignment horizontal="center" vertical="center"/>
      <protection hidden="1"/>
    </xf>
    <xf numFmtId="170" fontId="0" fillId="6" borderId="29" xfId="0" applyNumberFormat="1" applyFill="1" applyBorder="1" applyAlignment="1" applyProtection="1">
      <alignment/>
      <protection hidden="1"/>
    </xf>
    <xf numFmtId="0" fontId="0" fillId="17" borderId="0" xfId="0" applyFill="1" applyAlignment="1" applyProtection="1">
      <alignment/>
      <protection hidden="1"/>
    </xf>
    <xf numFmtId="0" fontId="26" fillId="17" borderId="0" xfId="0" applyNumberFormat="1" applyFont="1" applyFill="1" applyBorder="1" applyAlignment="1" applyProtection="1">
      <alignment horizontal="center" vertical="center"/>
      <protection hidden="1"/>
    </xf>
    <xf numFmtId="177" fontId="1" fillId="16" borderId="0" xfId="0" applyNumberFormat="1" applyFont="1" applyFill="1" applyBorder="1" applyAlignment="1" applyProtection="1">
      <alignment vertical="center"/>
      <protection hidden="1"/>
    </xf>
    <xf numFmtId="0" fontId="34" fillId="0" borderId="0" xfId="0" applyFont="1" applyAlignment="1" applyProtection="1">
      <alignment/>
      <protection hidden="1"/>
    </xf>
    <xf numFmtId="0" fontId="35" fillId="0" borderId="0" xfId="0" applyFont="1" applyAlignment="1" applyProtection="1">
      <alignment/>
      <protection hidden="1"/>
    </xf>
    <xf numFmtId="0" fontId="35" fillId="0" borderId="0" xfId="0" applyFont="1" applyAlignment="1" applyProtection="1">
      <alignment horizontal="center"/>
      <protection hidden="1"/>
    </xf>
    <xf numFmtId="0" fontId="34" fillId="0" borderId="31" xfId="0" applyFont="1" applyBorder="1" applyAlignment="1" applyProtection="1">
      <alignment/>
      <protection hidden="1"/>
    </xf>
    <xf numFmtId="0" fontId="54" fillId="0" borderId="0" xfId="0" applyFont="1" applyAlignment="1" applyProtection="1">
      <alignment/>
      <protection hidden="1"/>
    </xf>
    <xf numFmtId="4" fontId="35" fillId="0" borderId="0" xfId="0" applyNumberFormat="1" applyFont="1" applyAlignment="1" applyProtection="1">
      <alignment/>
      <protection hidden="1"/>
    </xf>
    <xf numFmtId="0" fontId="19" fillId="0" borderId="0" xfId="0" applyFont="1" applyAlignment="1" applyProtection="1">
      <alignment/>
      <protection hidden="1"/>
    </xf>
    <xf numFmtId="2" fontId="19" fillId="0" borderId="0" xfId="0" applyNumberFormat="1" applyFont="1" applyAlignment="1" applyProtection="1">
      <alignment/>
      <protection hidden="1"/>
    </xf>
    <xf numFmtId="4" fontId="54" fillId="0" borderId="0" xfId="0" applyNumberFormat="1" applyFont="1" applyAlignment="1" applyProtection="1">
      <alignment/>
      <protection hidden="1"/>
    </xf>
    <xf numFmtId="0" fontId="35" fillId="0" borderId="0" xfId="0" applyFont="1" applyAlignment="1" applyProtection="1">
      <alignment wrapText="1"/>
      <protection hidden="1"/>
    </xf>
    <xf numFmtId="4" fontId="60" fillId="0" borderId="0" xfId="0" applyNumberFormat="1" applyFont="1" applyAlignment="1" applyProtection="1">
      <alignment/>
      <protection hidden="1"/>
    </xf>
    <xf numFmtId="0" fontId="35" fillId="17" borderId="0" xfId="0" applyFont="1" applyFill="1" applyAlignment="1" applyProtection="1">
      <alignment/>
      <protection hidden="1"/>
    </xf>
    <xf numFmtId="0" fontId="60" fillId="0" borderId="0" xfId="0" applyFont="1" applyAlignment="1" applyProtection="1">
      <alignment/>
      <protection hidden="1"/>
    </xf>
    <xf numFmtId="0" fontId="60" fillId="0" borderId="0" xfId="0" applyFont="1" applyAlignment="1" applyProtection="1">
      <alignment horizontal="center"/>
      <protection hidden="1"/>
    </xf>
    <xf numFmtId="9" fontId="54" fillId="0" borderId="0" xfId="69" applyFont="1" applyAlignment="1" applyProtection="1">
      <alignment/>
      <protection hidden="1"/>
    </xf>
    <xf numFmtId="0" fontId="35" fillId="0" borderId="0" xfId="0" applyFont="1" applyAlignment="1" applyProtection="1">
      <alignment horizontal="left"/>
      <protection hidden="1"/>
    </xf>
    <xf numFmtId="0" fontId="61" fillId="0" borderId="0" xfId="0" applyFont="1" applyAlignment="1" applyProtection="1">
      <alignment/>
      <protection hidden="1"/>
    </xf>
    <xf numFmtId="9" fontId="61" fillId="0" borderId="0" xfId="69" applyFont="1" applyAlignment="1" applyProtection="1">
      <alignment/>
      <protection hidden="1"/>
    </xf>
    <xf numFmtId="4" fontId="61" fillId="0" borderId="0" xfId="0" applyNumberFormat="1" applyFont="1" applyAlignment="1" applyProtection="1">
      <alignment/>
      <protection hidden="1"/>
    </xf>
    <xf numFmtId="9" fontId="35" fillId="0" borderId="0" xfId="69" applyFont="1" applyAlignment="1" applyProtection="1">
      <alignment/>
      <protection hidden="1"/>
    </xf>
    <xf numFmtId="0" fontId="0" fillId="0" borderId="0" xfId="0" applyAlignment="1" applyProtection="1">
      <alignment horizontal="left" vertical="center" wrapText="1"/>
      <protection hidden="1"/>
    </xf>
    <xf numFmtId="3" fontId="0" fillId="0" borderId="0" xfId="0" applyNumberFormat="1" applyAlignment="1" applyProtection="1">
      <alignment horizontal="left" vertical="center"/>
      <protection hidden="1"/>
    </xf>
    <xf numFmtId="0" fontId="22" fillId="0" borderId="13" xfId="0" applyFont="1" applyBorder="1" applyAlignment="1" applyProtection="1">
      <alignment horizontal="left" vertical="center" wrapText="1"/>
      <protection hidden="1"/>
    </xf>
    <xf numFmtId="0" fontId="22" fillId="0" borderId="14" xfId="0" applyFont="1" applyBorder="1" applyAlignment="1" applyProtection="1">
      <alignment horizontal="left" vertical="center" wrapText="1"/>
      <protection hidden="1"/>
    </xf>
    <xf numFmtId="0" fontId="22" fillId="0" borderId="15" xfId="0" applyFont="1" applyBorder="1" applyAlignment="1" applyProtection="1">
      <alignment horizontal="left" vertical="center" wrapText="1"/>
      <protection hidden="1"/>
    </xf>
    <xf numFmtId="0" fontId="0" fillId="0" borderId="13" xfId="0" applyFont="1" applyBorder="1" applyAlignment="1" applyProtection="1">
      <alignment horizontal="left" vertical="center" wrapText="1"/>
      <protection hidden="1"/>
    </xf>
    <xf numFmtId="0" fontId="0" fillId="0" borderId="14" xfId="0" applyFont="1" applyBorder="1" applyAlignment="1" applyProtection="1">
      <alignment horizontal="left" vertical="center" wrapText="1"/>
      <protection hidden="1"/>
    </xf>
    <xf numFmtId="0" fontId="0" fillId="0" borderId="15" xfId="0" applyFont="1" applyBorder="1" applyAlignment="1" applyProtection="1">
      <alignment horizontal="left" vertical="center" wrapText="1"/>
      <protection hidden="1"/>
    </xf>
    <xf numFmtId="3" fontId="33" fillId="0" borderId="32" xfId="0" applyNumberFormat="1" applyFont="1" applyBorder="1" applyAlignment="1" applyProtection="1">
      <alignment horizontal="left" vertical="center" wrapText="1"/>
      <protection hidden="1"/>
    </xf>
    <xf numFmtId="3" fontId="33" fillId="21" borderId="26" xfId="0" applyNumberFormat="1" applyFont="1" applyFill="1" applyBorder="1" applyAlignment="1" applyProtection="1">
      <alignment horizontal="left" vertical="center" wrapText="1"/>
      <protection hidden="1"/>
    </xf>
    <xf numFmtId="0" fontId="25" fillId="19" borderId="26" xfId="54" applyNumberFormat="1" applyFill="1" applyBorder="1" applyAlignment="1" applyProtection="1">
      <alignment vertical="center"/>
      <protection hidden="1"/>
    </xf>
    <xf numFmtId="167" fontId="0" fillId="0" borderId="0" xfId="0" applyNumberFormat="1" applyFill="1" applyBorder="1" applyAlignment="1" applyProtection="1">
      <alignment horizontal="left" vertical="top" wrapText="1"/>
      <protection hidden="1"/>
    </xf>
    <xf numFmtId="167" fontId="0" fillId="0" borderId="0" xfId="0" applyNumberFormat="1" applyFont="1" applyFill="1" applyBorder="1" applyAlignment="1" applyProtection="1">
      <alignment horizontal="left" vertical="top" wrapText="1"/>
      <protection hidden="1"/>
    </xf>
    <xf numFmtId="3" fontId="33" fillId="21" borderId="27" xfId="0" applyNumberFormat="1" applyFont="1" applyFill="1" applyBorder="1" applyAlignment="1" applyProtection="1">
      <alignment horizontal="left" vertical="center" wrapText="1"/>
      <protection hidden="1"/>
    </xf>
    <xf numFmtId="0" fontId="1" fillId="0" borderId="0" xfId="0" applyFont="1" applyAlignment="1" applyProtection="1">
      <alignment horizontal="justify"/>
      <protection hidden="1"/>
    </xf>
    <xf numFmtId="3" fontId="1" fillId="0" borderId="27" xfId="0" applyNumberFormat="1" applyFont="1" applyBorder="1" applyAlignment="1" applyProtection="1">
      <alignment horizontal="left" vertical="center" wrapText="1"/>
      <protection hidden="1"/>
    </xf>
    <xf numFmtId="3" fontId="0" fillId="0" borderId="0" xfId="0" applyNumberFormat="1" applyFill="1" applyBorder="1" applyAlignment="1" applyProtection="1">
      <alignment horizontal="left" vertical="center" wrapText="1"/>
      <protection hidden="1"/>
    </xf>
    <xf numFmtId="3" fontId="0" fillId="0" borderId="0" xfId="0" applyNumberFormat="1" applyFont="1" applyFill="1" applyBorder="1" applyAlignment="1" applyProtection="1">
      <alignment horizontal="left" vertical="center" wrapText="1"/>
      <protection hidden="1"/>
    </xf>
    <xf numFmtId="3" fontId="33" fillId="0" borderId="27" xfId="0" applyNumberFormat="1" applyFont="1" applyBorder="1" applyAlignment="1" applyProtection="1">
      <alignment horizontal="left" vertical="center" wrapText="1"/>
      <protection hidden="1"/>
    </xf>
    <xf numFmtId="0" fontId="22" fillId="0" borderId="33" xfId="0" applyFont="1" applyBorder="1" applyAlignment="1" applyProtection="1">
      <alignment horizontal="center" vertical="center" wrapText="1"/>
      <protection hidden="1"/>
    </xf>
    <xf numFmtId="0" fontId="22" fillId="0" borderId="34" xfId="0" applyFont="1" applyBorder="1" applyAlignment="1" applyProtection="1">
      <alignment horizontal="center" vertical="center" wrapText="1"/>
      <protection hidden="1"/>
    </xf>
    <xf numFmtId="0" fontId="22" fillId="0" borderId="35" xfId="0" applyFont="1" applyBorder="1" applyAlignment="1" applyProtection="1">
      <alignment horizontal="center" vertical="center" wrapText="1"/>
      <protection hidden="1"/>
    </xf>
    <xf numFmtId="0" fontId="22" fillId="0" borderId="13" xfId="0" applyFont="1" applyBorder="1" applyAlignment="1" applyProtection="1">
      <alignment horizontal="left" vertical="center" wrapText="1"/>
      <protection hidden="1"/>
    </xf>
    <xf numFmtId="167" fontId="0" fillId="0" borderId="0" xfId="0" applyNumberFormat="1" applyFont="1" applyFill="1" applyBorder="1" applyAlignment="1" applyProtection="1">
      <alignment horizontal="left" vertical="top"/>
      <protection hidden="1"/>
    </xf>
    <xf numFmtId="176" fontId="27" fillId="0" borderId="29" xfId="0" applyNumberFormat="1" applyFont="1" applyBorder="1" applyAlignment="1" applyProtection="1">
      <alignment horizontal="right"/>
      <protection hidden="1"/>
    </xf>
    <xf numFmtId="176" fontId="27" fillId="0" borderId="19" xfId="0" applyNumberFormat="1" applyFont="1" applyBorder="1" applyAlignment="1" applyProtection="1">
      <alignment horizontal="right"/>
      <protection hidden="1"/>
    </xf>
    <xf numFmtId="3" fontId="1" fillId="21" borderId="26" xfId="0" applyNumberFormat="1" applyFont="1" applyFill="1" applyBorder="1" applyAlignment="1" applyProtection="1">
      <alignment horizontal="left" vertical="center" wrapText="1"/>
      <protection hidden="1"/>
    </xf>
    <xf numFmtId="0" fontId="34" fillId="0" borderId="0" xfId="0" applyFont="1" applyAlignment="1" applyProtection="1">
      <alignment/>
      <protection hidden="1"/>
    </xf>
    <xf numFmtId="0" fontId="59" fillId="0" borderId="0" xfId="0" applyFont="1" applyAlignment="1" applyProtection="1">
      <alignment/>
      <protection hidden="1"/>
    </xf>
    <xf numFmtId="167" fontId="0" fillId="0" borderId="0" xfId="0" applyNumberFormat="1" applyAlignment="1" applyProtection="1">
      <alignment horizontal="left" vertical="top"/>
      <protection hidden="1"/>
    </xf>
    <xf numFmtId="167" fontId="0" fillId="0" borderId="0" xfId="0" applyNumberFormat="1" applyAlignment="1" applyProtection="1">
      <alignment horizontal="left" vertical="top" wrapText="1"/>
      <protection hidden="1"/>
    </xf>
    <xf numFmtId="3" fontId="0" fillId="0" borderId="0" xfId="0" applyNumberFormat="1" applyAlignment="1" applyProtection="1">
      <alignment horizontal="left" vertical="center"/>
      <protection hidden="1"/>
    </xf>
    <xf numFmtId="0" fontId="0" fillId="0" borderId="0" xfId="0" applyAlignment="1" applyProtection="1">
      <alignment horizontal="left" vertical="center" wrapText="1"/>
      <protection hidden="1"/>
    </xf>
    <xf numFmtId="3" fontId="0" fillId="2" borderId="0" xfId="0" applyNumberFormat="1" applyFill="1" applyAlignment="1" applyProtection="1">
      <alignment horizontal="left" vertical="center"/>
      <protection hidden="1"/>
    </xf>
    <xf numFmtId="177" fontId="1" fillId="16" borderId="9" xfId="0" applyNumberFormat="1" applyFont="1" applyFill="1" applyBorder="1" applyAlignment="1" applyProtection="1">
      <alignment vertical="center"/>
      <protection locked="0"/>
    </xf>
    <xf numFmtId="180" fontId="1" fillId="16" borderId="9" xfId="0" applyNumberFormat="1" applyFont="1" applyFill="1" applyBorder="1" applyAlignment="1" applyProtection="1">
      <alignment vertical="center"/>
      <protection locked="0"/>
    </xf>
    <xf numFmtId="177" fontId="36" fillId="16" borderId="9" xfId="0" applyNumberFormat="1" applyFont="1" applyFill="1" applyBorder="1" applyAlignment="1" applyProtection="1">
      <alignment vertical="center"/>
      <protection locked="0"/>
    </xf>
    <xf numFmtId="166" fontId="1" fillId="16" borderId="9" xfId="0" applyNumberFormat="1" applyFont="1" applyFill="1" applyBorder="1" applyAlignment="1" applyProtection="1">
      <alignment vertical="center"/>
      <protection locked="0"/>
    </xf>
    <xf numFmtId="166" fontId="1" fillId="16" borderId="0" xfId="0" applyNumberFormat="1" applyFont="1" applyFill="1" applyBorder="1" applyAlignment="1" applyProtection="1">
      <alignment vertical="center"/>
      <protection locked="0"/>
    </xf>
    <xf numFmtId="167" fontId="0" fillId="0" borderId="0" xfId="0" applyNumberFormat="1" applyFont="1" applyAlignment="1" applyProtection="1">
      <alignment/>
      <protection locked="0"/>
    </xf>
    <xf numFmtId="9" fontId="0" fillId="16" borderId="9" xfId="68" applyFill="1" applyBorder="1" applyAlignment="1" applyProtection="1">
      <alignment vertical="center"/>
      <protection locked="0"/>
    </xf>
    <xf numFmtId="177" fontId="58" fillId="16" borderId="9" xfId="0" applyNumberFormat="1" applyFont="1" applyFill="1" applyBorder="1" applyAlignment="1" applyProtection="1">
      <alignment vertical="center"/>
      <protection locked="0"/>
    </xf>
    <xf numFmtId="180" fontId="36" fillId="16" borderId="9" xfId="0" applyNumberFormat="1" applyFont="1" applyFill="1" applyBorder="1" applyAlignment="1" applyProtection="1">
      <alignment vertical="center"/>
      <protection locked="0"/>
    </xf>
    <xf numFmtId="177" fontId="1" fillId="16" borderId="9" xfId="0" applyNumberFormat="1" applyFont="1" applyFill="1" applyBorder="1" applyAlignment="1" applyProtection="1">
      <alignment horizontal="center" vertical="center"/>
      <protection locked="0"/>
    </xf>
    <xf numFmtId="177" fontId="36" fillId="0" borderId="9" xfId="0" applyNumberFormat="1" applyFont="1" applyFill="1" applyBorder="1" applyAlignment="1" applyProtection="1">
      <alignment vertical="center"/>
      <protection locked="0"/>
    </xf>
    <xf numFmtId="177" fontId="1" fillId="0" borderId="9" xfId="0" applyNumberFormat="1" applyFont="1" applyFill="1" applyBorder="1" applyAlignment="1" applyProtection="1">
      <alignment vertical="center"/>
      <protection locked="0"/>
    </xf>
    <xf numFmtId="166" fontId="1" fillId="16" borderId="0" xfId="0" applyNumberFormat="1" applyFont="1" applyFill="1" applyAlignment="1" applyProtection="1">
      <alignment vertical="center"/>
      <protection locked="0"/>
    </xf>
    <xf numFmtId="4" fontId="35" fillId="23" borderId="0" xfId="0" applyNumberFormat="1" applyFont="1" applyFill="1" applyAlignment="1" applyProtection="1">
      <alignment/>
      <protection locked="0"/>
    </xf>
    <xf numFmtId="2" fontId="19" fillId="23" borderId="0" xfId="0" applyNumberFormat="1" applyFont="1" applyFill="1" applyAlignment="1" applyProtection="1">
      <alignment/>
      <protection locked="0"/>
    </xf>
    <xf numFmtId="10" fontId="19" fillId="23" borderId="0" xfId="68" applyNumberFormat="1" applyFont="1" applyFill="1" applyAlignment="1" applyProtection="1">
      <alignment/>
      <protection locked="0"/>
    </xf>
    <xf numFmtId="4" fontId="35" fillId="0" borderId="0" xfId="0" applyNumberFormat="1" applyFont="1" applyFill="1" applyAlignment="1" applyProtection="1">
      <alignment/>
      <protection hidden="1"/>
    </xf>
    <xf numFmtId="2" fontId="35" fillId="23" borderId="0" xfId="0" applyNumberFormat="1" applyFont="1" applyFill="1" applyAlignment="1" applyProtection="1">
      <alignment/>
      <protection locked="0"/>
    </xf>
  </cellXfs>
  <cellStyles count="7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2" xfId="22"/>
    <cellStyle name="20% - Accent3" xfId="23"/>
    <cellStyle name="20% - Accent4" xfId="24"/>
    <cellStyle name="20% - Accent5" xfId="25"/>
    <cellStyle name="20% - Accent6" xfId="26"/>
    <cellStyle name="40 % – Zvýraznění1" xfId="27"/>
    <cellStyle name="40 % – Zvýraznění2" xfId="28"/>
    <cellStyle name="40 % – Zvýraznění3" xfId="29"/>
    <cellStyle name="40 % – Zvýraznění4" xfId="30"/>
    <cellStyle name="40 % – Zvýraznění5" xfId="31"/>
    <cellStyle name="40 % – Zvýraznění6" xfId="32"/>
    <cellStyle name="40% - Accent1" xfId="33"/>
    <cellStyle name="40% - Accent2" xfId="34"/>
    <cellStyle name="40% - Accent3" xfId="35"/>
    <cellStyle name="40% - Accent4" xfId="36"/>
    <cellStyle name="40% - Accent5" xfId="37"/>
    <cellStyle name="40% - Accent6" xfId="38"/>
    <cellStyle name="60 % – Zvýraznění1" xfId="39"/>
    <cellStyle name="60 % – Zvýraznění2" xfId="40"/>
    <cellStyle name="60 % – Zvýraznění3" xfId="41"/>
    <cellStyle name="60 % – Zvýraznění4" xfId="42"/>
    <cellStyle name="60 % – Zvýraznění5" xfId="43"/>
    <cellStyle name="60 % – Zvýraznění6" xfId="44"/>
    <cellStyle name="60% - Accent1" xfId="45"/>
    <cellStyle name="60% - Accent2" xfId="46"/>
    <cellStyle name="60% - Accent3" xfId="47"/>
    <cellStyle name="60% - Accent4" xfId="48"/>
    <cellStyle name="60% - Accent5" xfId="49"/>
    <cellStyle name="60% - Accent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_BRILSTAR" xfId="66"/>
    <cellStyle name="Poznámka" xfId="67"/>
    <cellStyle name="Percent" xfId="68"/>
    <cellStyle name="Procenta 2" xfId="69"/>
    <cellStyle name="Propojená buňka" xfId="70"/>
    <cellStyle name="Followed Hyperlink" xfId="71"/>
    <cellStyle name="Správně" xfId="72"/>
    <cellStyle name="Špatně" xfId="73"/>
    <cellStyle name="TableStyleLight1" xfId="74"/>
    <cellStyle name="TableStyleLight1 2" xfId="75"/>
    <cellStyle name="TableStyleLight1 3" xfId="76"/>
    <cellStyle name="TableStyleLight1 4" xfId="77"/>
    <cellStyle name="Text upozornění" xfId="78"/>
    <cellStyle name="Title" xfId="79"/>
    <cellStyle name="Total" xfId="80"/>
    <cellStyle name="Vstup" xfId="81"/>
    <cellStyle name="Výpočet" xfId="82"/>
    <cellStyle name="Výstup" xfId="83"/>
    <cellStyle name="Vysvětlující text" xfId="84"/>
    <cellStyle name="Warning Text" xfId="85"/>
    <cellStyle name="Zvýraznění 1" xfId="86"/>
    <cellStyle name="Zvýraznění 2" xfId="87"/>
    <cellStyle name="Zvýraznění 3" xfId="88"/>
    <cellStyle name="Zvýraznění 4" xfId="89"/>
    <cellStyle name="Zvýraznění 5" xfId="90"/>
    <cellStyle name="Zvýraznění 6" xfId="91"/>
  </cellStyles>
  <dxfs count="4">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200025</xdr:colOff>
      <xdr:row>64</xdr:row>
      <xdr:rowOff>95250</xdr:rowOff>
    </xdr:from>
    <xdr:to>
      <xdr:col>12</xdr:col>
      <xdr:colOff>247650</xdr:colOff>
      <xdr:row>73</xdr:row>
      <xdr:rowOff>76200</xdr:rowOff>
    </xdr:to>
    <xdr:pic>
      <xdr:nvPicPr>
        <xdr:cNvPr id="1" name="Obrázek 1"/>
        <xdr:cNvPicPr preferRelativeResize="1">
          <a:picLocks noChangeAspect="1"/>
        </xdr:cNvPicPr>
      </xdr:nvPicPr>
      <xdr:blipFill>
        <a:blip r:embed="rId1"/>
        <a:stretch>
          <a:fillRect/>
        </a:stretch>
      </xdr:blipFill>
      <xdr:spPr>
        <a:xfrm>
          <a:off x="7648575" y="11029950"/>
          <a:ext cx="1647825"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k-levne.cz/hl138-podomitkovy-sifon-ke-klimatizacnim-jednotkam-dn32-100x100mm.html" TargetMode="External" /><Relationship Id="rId2" Type="http://schemas.openxmlformats.org/officeDocument/2006/relationships/hyperlink" Target="https://www.spalensky.com/e/ostatni-drevene-vyrobky-676/dverni-prahy-971/?page=1&amp;sort=title&amp;parameters=2582" TargetMode="External" /><Relationship Id="rId3" Type="http://schemas.openxmlformats.org/officeDocument/2006/relationships/hyperlink" Target="https://www.vodo-plasttop.cz/podomitkova-zapachova-uzaverka-hl405-sifon-prackovy" TargetMode="External" /><Relationship Id="rId4" Type="http://schemas.openxmlformats.org/officeDocument/2006/relationships/hyperlink" Target="https://www.siko.cz/lista-ukoncovaci-l-hlinik-10-mm-250-cm-al10250/p/AL10250?gclid=EAIaIQobChMIsYDCpJ7F6QIVie3tCh0zFQanEAAYAyAAEgKzu_D_BwE" TargetMode="External" /><Relationship Id="rId5" Type="http://schemas.openxmlformats.org/officeDocument/2006/relationships/hyperlink" Target="https://www.siko.cz/lista-ukoncovaci-l-kartacovana-nerez-10-mm-250-cm-nrzk10250/p/NRZK10250" TargetMode="External" /><Relationship Id="rId6" Type="http://schemas.openxmlformats.org/officeDocument/2006/relationships/hyperlink" Target="https://www.truhlarstvipohan.cz/dvere-silvie/" TargetMode="External" /><Relationship Id="rId7" Type="http://schemas.openxmlformats.org/officeDocument/2006/relationships/hyperlink" Target="https://www.datart.cz/Vestavna-trouba-MORA-VT-433-BW.html?gclid=EAIaIQobChMIpMnpia_H6QIVGofVCh2towCrEAAYASAAEgKGBfD_BwE" TargetMode="External" /><Relationship Id="rId8" Type="http://schemas.openxmlformats.org/officeDocument/2006/relationships/hyperlink" Target="https://online.ferona.cz/detail/22304/profil-rovnoramenny-l-z-konstrukcni-oceli-valcovane-za-tepla-en-10056-l-50x50x4" TargetMode="External" /><Relationship Id="rId9" Type="http://schemas.openxmlformats.org/officeDocument/2006/relationships/hyperlink" Target="https://www.floorwood.cz/prechodova-lista-sroubovaci-obla-stribrna-e01/" TargetMode="External" /><Relationship Id="rId10" Type="http://schemas.openxmlformats.org/officeDocument/2006/relationships/hyperlink" Target="https://www.siko.cz/umyvadlo-jika-lyra-plus-60x49-cm-otvor-pro-baterii-uprostred-h8143830001041/p/1438.3.000.104.1" TargetMode="External" /><Relationship Id="rId11" Type="http://schemas.openxmlformats.org/officeDocument/2006/relationships/hyperlink" Target="https://www.siko.cz/sprchova-vanicka-ctvercova-ravak-chrome-90x90-cm-lity-mramor-xa047701010/p/PER90PROCHROM0" TargetMode="External" /><Relationship Id="rId12" Type="http://schemas.openxmlformats.org/officeDocument/2006/relationships/hyperlink" Target="https://www.hse-dvere-zarubne.cz/data1/download_dok/cenik_zarubne.pdf"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3:X524"/>
  <sheetViews>
    <sheetView showGridLines="0" tabSelected="1" zoomScaleSheetLayoutView="100" workbookViewId="0" topLeftCell="A1">
      <selection activeCell="G174" sqref="G174"/>
    </sheetView>
  </sheetViews>
  <sheetFormatPr defaultColWidth="9.00390625" defaultRowHeight="12.75"/>
  <cols>
    <col min="1" max="1" width="4.375" style="22" customWidth="1"/>
    <col min="2" max="2" width="17.00390625" style="23" customWidth="1"/>
    <col min="3" max="3" width="15.75390625" style="24" customWidth="1"/>
    <col min="4" max="4" width="53.375" style="35" customWidth="1"/>
    <col min="5" max="5" width="7.625" style="26" customWidth="1"/>
    <col min="6" max="6" width="10.625" style="30" customWidth="1"/>
    <col min="7" max="7" width="12.625" style="31" customWidth="1"/>
    <col min="8" max="8" width="15.375" style="26" customWidth="1"/>
    <col min="9" max="9" width="9.00390625" style="32" bestFit="1" customWidth="1"/>
    <col min="10" max="10" width="10.625" style="10" customWidth="1"/>
    <col min="11" max="11" width="15.125" style="78" hidden="1" customWidth="1"/>
    <col min="12" max="13" width="13.25390625" style="26" hidden="1" customWidth="1"/>
    <col min="14" max="14" width="11.00390625" style="26" hidden="1" customWidth="1"/>
    <col min="15" max="16" width="9.125" style="26" hidden="1" customWidth="1"/>
    <col min="17" max="17" width="11.25390625" style="26" hidden="1" customWidth="1"/>
    <col min="18" max="20" width="9.125" style="26" hidden="1" customWidth="1"/>
    <col min="21" max="16384" width="9.125" style="26" customWidth="1"/>
  </cols>
  <sheetData>
    <row r="3" spans="4:17" ht="22.5">
      <c r="D3" s="25"/>
      <c r="F3" s="27" t="s">
        <v>859</v>
      </c>
      <c r="G3" s="27" t="s">
        <v>860</v>
      </c>
      <c r="H3" s="27" t="s">
        <v>861</v>
      </c>
      <c r="I3" s="27" t="s">
        <v>764</v>
      </c>
      <c r="J3" s="28" t="s">
        <v>654</v>
      </c>
      <c r="K3" s="29" t="s">
        <v>649</v>
      </c>
      <c r="L3" s="29" t="s">
        <v>650</v>
      </c>
      <c r="M3" s="29" t="s">
        <v>651</v>
      </c>
      <c r="N3" s="29" t="s">
        <v>651</v>
      </c>
      <c r="Q3" s="29" t="s">
        <v>6</v>
      </c>
    </row>
    <row r="4" spans="4:13" ht="12.75">
      <c r="D4" s="25"/>
      <c r="K4" s="33"/>
      <c r="L4" s="33"/>
      <c r="M4" s="34"/>
    </row>
    <row r="5" spans="11:13" ht="12.75">
      <c r="K5" s="33"/>
      <c r="L5" s="33"/>
      <c r="M5" s="34"/>
    </row>
    <row r="6" spans="4:13" ht="44.25" customHeight="1">
      <c r="D6" s="316" t="s">
        <v>275</v>
      </c>
      <c r="E6" s="317"/>
      <c r="F6" s="317"/>
      <c r="G6" s="317"/>
      <c r="H6" s="318"/>
      <c r="K6" s="33"/>
      <c r="L6" s="33"/>
      <c r="M6" s="34"/>
    </row>
    <row r="7" spans="4:13" ht="37.5" customHeight="1">
      <c r="D7" s="319" t="s">
        <v>639</v>
      </c>
      <c r="E7" s="300"/>
      <c r="F7" s="300"/>
      <c r="G7" s="300"/>
      <c r="H7" s="301"/>
      <c r="K7" s="33"/>
      <c r="L7" s="33"/>
      <c r="M7" s="34"/>
    </row>
    <row r="8" spans="2:13" ht="18">
      <c r="B8" s="36"/>
      <c r="D8" s="299" t="s">
        <v>262</v>
      </c>
      <c r="E8" s="300"/>
      <c r="F8" s="300"/>
      <c r="G8" s="300"/>
      <c r="H8" s="301"/>
      <c r="K8" s="26" t="s">
        <v>263</v>
      </c>
      <c r="L8" s="33"/>
      <c r="M8" s="34"/>
    </row>
    <row r="9" spans="2:13" ht="18">
      <c r="B9" s="36"/>
      <c r="D9" s="299" t="s">
        <v>265</v>
      </c>
      <c r="E9" s="300"/>
      <c r="F9" s="300"/>
      <c r="G9" s="300"/>
      <c r="H9" s="301"/>
      <c r="K9" s="26"/>
      <c r="L9" s="33"/>
      <c r="M9" s="34"/>
    </row>
    <row r="10" spans="2:13" ht="12.75">
      <c r="B10" s="36"/>
      <c r="D10" s="302" t="s">
        <v>264</v>
      </c>
      <c r="E10" s="303"/>
      <c r="F10" s="303"/>
      <c r="G10" s="303"/>
      <c r="H10" s="304"/>
      <c r="K10" s="26"/>
      <c r="L10" s="33"/>
      <c r="M10" s="34"/>
    </row>
    <row r="11" spans="4:13" ht="12.75">
      <c r="D11" s="37"/>
      <c r="E11" s="38"/>
      <c r="F11" s="39"/>
      <c r="G11" s="40"/>
      <c r="H11" s="41"/>
      <c r="K11" s="33"/>
      <c r="L11" s="33"/>
      <c r="M11" s="34"/>
    </row>
    <row r="12" spans="4:13" ht="23.25">
      <c r="D12" s="42" t="s">
        <v>862</v>
      </c>
      <c r="E12" s="43"/>
      <c r="F12" s="44"/>
      <c r="G12" s="45"/>
      <c r="H12" s="46"/>
      <c r="K12" s="33"/>
      <c r="L12" s="33"/>
      <c r="M12" s="34"/>
    </row>
    <row r="13" spans="11:13" ht="12.75">
      <c r="K13" s="33"/>
      <c r="L13" s="33"/>
      <c r="M13" s="34"/>
    </row>
    <row r="14" spans="11:13" ht="12.75">
      <c r="K14" s="47"/>
      <c r="L14" s="47"/>
      <c r="M14" s="34"/>
    </row>
    <row r="15" spans="1:14" s="47" customFormat="1" ht="16.5">
      <c r="A15" s="48"/>
      <c r="B15" s="49"/>
      <c r="C15" s="50">
        <v>1</v>
      </c>
      <c r="D15" s="51" t="str">
        <f>Kapitola_1</f>
        <v>Přípravné a bourací práce</v>
      </c>
      <c r="E15" s="52"/>
      <c r="F15" s="53"/>
      <c r="G15" s="54"/>
      <c r="H15" s="54">
        <f>+Cena_1</f>
        <v>0</v>
      </c>
      <c r="I15" s="55"/>
      <c r="J15" s="56"/>
      <c r="K15" s="57">
        <f>SUMIF(I$114:I$148,"O",H$114:H$148)</f>
        <v>0</v>
      </c>
      <c r="L15" s="57">
        <f>SUMIF(I$114:I$148,"i",H$114:H$148)</f>
        <v>0</v>
      </c>
      <c r="M15" s="58">
        <f>SUM(K15:L15)</f>
        <v>0</v>
      </c>
      <c r="N15" s="59">
        <f>+H15-M15</f>
        <v>0</v>
      </c>
    </row>
    <row r="16" spans="1:14" s="47" customFormat="1" ht="16.5">
      <c r="A16" s="48"/>
      <c r="B16" s="49"/>
      <c r="C16" s="50">
        <v>2</v>
      </c>
      <c r="D16" s="51" t="str">
        <f>Kapitola_2</f>
        <v>Stavební úpravy bytové jednotky</v>
      </c>
      <c r="E16" s="52"/>
      <c r="F16" s="53"/>
      <c r="G16" s="54"/>
      <c r="H16" s="54">
        <f>SUM(G17:G23)</f>
        <v>0</v>
      </c>
      <c r="I16" s="55"/>
      <c r="J16" s="56"/>
      <c r="N16" s="59"/>
    </row>
    <row r="17" spans="1:14" s="47" customFormat="1" ht="16.5">
      <c r="A17" s="48"/>
      <c r="B17" s="49"/>
      <c r="C17" s="60" t="s">
        <v>528</v>
      </c>
      <c r="D17" s="51" t="str">
        <f>Kapitola_2a</f>
        <v>Stěny a příčky</v>
      </c>
      <c r="E17" s="52"/>
      <c r="F17" s="53"/>
      <c r="G17" s="54">
        <f>+Cena_2a</f>
        <v>0</v>
      </c>
      <c r="H17" s="54"/>
      <c r="I17" s="55"/>
      <c r="J17" s="56"/>
      <c r="K17" s="57">
        <f>SUMIF(I$153:I$176,"O",H$153:H$176)</f>
        <v>0</v>
      </c>
      <c r="L17" s="57">
        <f>SUMIF(I$153:I$176,"i",H$153:H$176)</f>
        <v>0</v>
      </c>
      <c r="M17" s="58">
        <f aca="true" t="shared" si="0" ref="M17:M23">SUM(K17:L17)</f>
        <v>0</v>
      </c>
      <c r="N17" s="59">
        <f aca="true" t="shared" si="1" ref="N17:N23">+G17-M17</f>
        <v>0</v>
      </c>
    </row>
    <row r="18" spans="1:14" s="47" customFormat="1" ht="16.5">
      <c r="A18" s="48"/>
      <c r="B18" s="49"/>
      <c r="C18" s="60" t="s">
        <v>529</v>
      </c>
      <c r="D18" s="51" t="str">
        <f>Kapitola_2b</f>
        <v>Stropy a stropní konstrukce a podhledy</v>
      </c>
      <c r="E18" s="52"/>
      <c r="F18" s="53"/>
      <c r="G18" s="54">
        <f>+Cena_2b</f>
        <v>0</v>
      </c>
      <c r="H18" s="54"/>
      <c r="I18" s="55"/>
      <c r="J18" s="56"/>
      <c r="K18" s="57">
        <f>SUMIF(I$181:I$196,"O",H$181:H$196)</f>
        <v>0</v>
      </c>
      <c r="L18" s="57">
        <f>SUMIF(I$181:I$196,"i",H$181:H$196)</f>
        <v>0</v>
      </c>
      <c r="M18" s="58">
        <f t="shared" si="0"/>
        <v>0</v>
      </c>
      <c r="N18" s="59">
        <f t="shared" si="1"/>
        <v>0</v>
      </c>
    </row>
    <row r="19" spans="1:14" s="47" customFormat="1" ht="16.5">
      <c r="A19" s="48"/>
      <c r="B19" s="49"/>
      <c r="C19" s="60" t="s">
        <v>530</v>
      </c>
      <c r="D19" s="51" t="str">
        <f>Kapitola_2c</f>
        <v>Úpravy povrchů vnitřní (stěny, stropy)</v>
      </c>
      <c r="E19" s="52"/>
      <c r="F19" s="53"/>
      <c r="G19" s="54">
        <f>+Cena_2c</f>
        <v>0</v>
      </c>
      <c r="H19" s="54"/>
      <c r="I19" s="55"/>
      <c r="J19" s="56"/>
      <c r="K19" s="57">
        <f>SUMIF(I$201:I$275,"O",H$201:H$275)</f>
        <v>0</v>
      </c>
      <c r="L19" s="57">
        <f>SUMIF(I$201:I$275,"i",H$201:H$275)</f>
        <v>0</v>
      </c>
      <c r="M19" s="58">
        <f t="shared" si="0"/>
        <v>0</v>
      </c>
      <c r="N19" s="59">
        <f t="shared" si="1"/>
        <v>0</v>
      </c>
    </row>
    <row r="20" spans="1:14" s="47" customFormat="1" ht="16.5">
      <c r="A20" s="48"/>
      <c r="B20" s="49"/>
      <c r="C20" s="61" t="s">
        <v>531</v>
      </c>
      <c r="D20" s="51" t="str">
        <f>Kapitola_2j</f>
        <v>Konstrukce truhlářské</v>
      </c>
      <c r="E20" s="52"/>
      <c r="F20" s="53"/>
      <c r="G20" s="54">
        <f>+Cena_2j</f>
        <v>0</v>
      </c>
      <c r="H20" s="54"/>
      <c r="I20" s="55"/>
      <c r="J20" s="56"/>
      <c r="K20" s="57">
        <f>SUMIF(I$280:I$306,"O",H$280:H$306)</f>
        <v>0</v>
      </c>
      <c r="L20" s="57">
        <f>SUMIF(I$280:I$306,"i",H$280:H$306)</f>
        <v>0</v>
      </c>
      <c r="M20" s="58">
        <f t="shared" si="0"/>
        <v>0</v>
      </c>
      <c r="N20" s="59">
        <f t="shared" si="1"/>
        <v>0</v>
      </c>
    </row>
    <row r="21" spans="1:14" s="47" customFormat="1" ht="16.5">
      <c r="A21" s="48"/>
      <c r="B21" s="49"/>
      <c r="C21" s="61" t="s">
        <v>532</v>
      </c>
      <c r="D21" s="51" t="str">
        <f>Kapitola_2k</f>
        <v>Konstrukce zámečnické</v>
      </c>
      <c r="E21" s="52"/>
      <c r="F21" s="53"/>
      <c r="G21" s="54">
        <f>+Cena_2k</f>
        <v>0</v>
      </c>
      <c r="H21" s="54"/>
      <c r="I21" s="55"/>
      <c r="J21" s="56"/>
      <c r="K21" s="57">
        <f>SUMIF(I$311:I$318,"O",H$311:H$318)</f>
        <v>0</v>
      </c>
      <c r="L21" s="57">
        <f>SUMIF(I$311:I$318,"i",H$311:H$318)</f>
        <v>0</v>
      </c>
      <c r="M21" s="58">
        <f t="shared" si="0"/>
        <v>0</v>
      </c>
      <c r="N21" s="59">
        <f t="shared" si="1"/>
        <v>0</v>
      </c>
    </row>
    <row r="22" spans="1:14" s="47" customFormat="1" ht="16.5">
      <c r="A22" s="48"/>
      <c r="B22" s="49"/>
      <c r="C22" s="61" t="s">
        <v>533</v>
      </c>
      <c r="D22" s="51" t="str">
        <f>Kapitola_2l</f>
        <v>Podlahy z dlaždic</v>
      </c>
      <c r="E22" s="52"/>
      <c r="F22" s="53"/>
      <c r="G22" s="54">
        <f>+Cena_2l</f>
        <v>0</v>
      </c>
      <c r="H22" s="54"/>
      <c r="I22" s="55"/>
      <c r="J22" s="56"/>
      <c r="K22" s="57">
        <f>SUMIF(I$323:I$346,"O",H$323:H$346)</f>
        <v>0</v>
      </c>
      <c r="L22" s="57">
        <f>SUMIF(I$323:I$346,"i",H$323:H$346)</f>
        <v>0</v>
      </c>
      <c r="M22" s="58">
        <f t="shared" si="0"/>
        <v>0</v>
      </c>
      <c r="N22" s="59">
        <f t="shared" si="1"/>
        <v>0</v>
      </c>
    </row>
    <row r="23" spans="1:14" s="47" customFormat="1" ht="16.5">
      <c r="A23" s="48"/>
      <c r="B23" s="49"/>
      <c r="C23" s="61" t="s">
        <v>534</v>
      </c>
      <c r="D23" s="51" t="str">
        <f>Kapitola_2m</f>
        <v>Podlahy dřevěné a povlakové</v>
      </c>
      <c r="E23" s="52"/>
      <c r="F23" s="53"/>
      <c r="G23" s="54">
        <f>+Cena_2m</f>
        <v>0</v>
      </c>
      <c r="H23" s="54"/>
      <c r="I23" s="55"/>
      <c r="J23" s="56"/>
      <c r="K23" s="57">
        <f>SUMIF(I$351:I$358,"O",H$351:H$358)</f>
        <v>0</v>
      </c>
      <c r="L23" s="57">
        <f>SUMIF(I$351:I$358,"i",H$351:H$358)</f>
        <v>0</v>
      </c>
      <c r="M23" s="58">
        <f t="shared" si="0"/>
        <v>0</v>
      </c>
      <c r="N23" s="59">
        <f t="shared" si="1"/>
        <v>0</v>
      </c>
    </row>
    <row r="24" spans="1:14" s="47" customFormat="1" ht="16.5">
      <c r="A24" s="48"/>
      <c r="B24" s="49"/>
      <c r="C24" s="50">
        <v>3</v>
      </c>
      <c r="D24" s="62" t="s">
        <v>783</v>
      </c>
      <c r="E24" s="52"/>
      <c r="F24" s="53"/>
      <c r="G24" s="54"/>
      <c r="H24" s="54">
        <f>SUM(G25:G31)</f>
        <v>0</v>
      </c>
      <c r="I24" s="55"/>
      <c r="J24" s="56"/>
      <c r="K24" s="57"/>
      <c r="L24" s="57"/>
      <c r="M24" s="58"/>
      <c r="N24" s="59"/>
    </row>
    <row r="25" spans="1:14" s="47" customFormat="1" ht="16.5">
      <c r="A25" s="48"/>
      <c r="B25" s="49"/>
      <c r="C25" s="60" t="s">
        <v>772</v>
      </c>
      <c r="D25" s="51" t="str">
        <f>+D361</f>
        <v>Zdravotechnika - demontáže</v>
      </c>
      <c r="E25" s="52"/>
      <c r="F25" s="53"/>
      <c r="G25" s="54">
        <f>+H376</f>
        <v>0</v>
      </c>
      <c r="H25" s="54"/>
      <c r="I25" s="55"/>
      <c r="J25" s="56"/>
      <c r="K25" s="57">
        <f>SUMIF(I$362:I$375,"O",H$362:H$375)</f>
        <v>0</v>
      </c>
      <c r="L25" s="57">
        <f>SUMIF(I$362:I$375,"i",H$362:H$375)</f>
        <v>0</v>
      </c>
      <c r="M25" s="58">
        <f aca="true" t="shared" si="2" ref="M25:M34">SUM(K25:L25)</f>
        <v>0</v>
      </c>
      <c r="N25" s="59">
        <f aca="true" t="shared" si="3" ref="N25:N31">+G25-M25</f>
        <v>0</v>
      </c>
    </row>
    <row r="26" spans="1:14" s="47" customFormat="1" ht="16.5">
      <c r="A26" s="48"/>
      <c r="B26" s="49"/>
      <c r="C26" s="60" t="s">
        <v>777</v>
      </c>
      <c r="D26" s="51" t="str">
        <f>Kapitola_2d</f>
        <v>Zdravotechnika - vnitřní kanalizace</v>
      </c>
      <c r="E26" s="52"/>
      <c r="F26" s="53"/>
      <c r="G26" s="54">
        <f>+Cena_2d</f>
        <v>0</v>
      </c>
      <c r="H26" s="54"/>
      <c r="I26" s="55"/>
      <c r="J26" s="56"/>
      <c r="K26" s="57">
        <f>SUMIF(I$380:I$392,"O",H$380:H$392)</f>
        <v>0</v>
      </c>
      <c r="L26" s="57">
        <f>SUMIF(I$380:I$392,"i",H$380:H$392)</f>
        <v>0</v>
      </c>
      <c r="M26" s="58">
        <f t="shared" si="2"/>
        <v>0</v>
      </c>
      <c r="N26" s="59">
        <f t="shared" si="3"/>
        <v>0</v>
      </c>
    </row>
    <row r="27" spans="1:14" s="47" customFormat="1" ht="16.5">
      <c r="A27" s="48"/>
      <c r="B27" s="49"/>
      <c r="C27" s="60" t="s">
        <v>778</v>
      </c>
      <c r="D27" s="51" t="str">
        <f>Kapitola_2e</f>
        <v>Zdravotechnika - vnitřní vodovod</v>
      </c>
      <c r="E27" s="52"/>
      <c r="F27" s="53"/>
      <c r="G27" s="54">
        <f>+Cena_2e</f>
        <v>0</v>
      </c>
      <c r="H27" s="54"/>
      <c r="I27" s="55"/>
      <c r="J27" s="56"/>
      <c r="K27" s="57">
        <f>SUMIF(I$397:I$410,"O",H$397:H$410)</f>
        <v>0</v>
      </c>
      <c r="L27" s="57">
        <f>SUMIF(I$397:I$410,"i",H$397:H$410)</f>
        <v>0</v>
      </c>
      <c r="M27" s="58">
        <f t="shared" si="2"/>
        <v>0</v>
      </c>
      <c r="N27" s="59">
        <f t="shared" si="3"/>
        <v>0</v>
      </c>
    </row>
    <row r="28" spans="1:14" s="47" customFormat="1" ht="16.5">
      <c r="A28" s="48"/>
      <c r="B28" s="49"/>
      <c r="C28" s="60" t="s">
        <v>779</v>
      </c>
      <c r="D28" s="51" t="str">
        <f>Kapitola_2f</f>
        <v>Zdravotechnika - zařizovací předměty, armatury </v>
      </c>
      <c r="E28" s="52"/>
      <c r="F28" s="53"/>
      <c r="G28" s="54">
        <f>+Cena_2f</f>
        <v>0</v>
      </c>
      <c r="H28" s="54"/>
      <c r="I28" s="55"/>
      <c r="J28" s="56"/>
      <c r="K28" s="57">
        <f>SUMIF(I$416:I$442,"O",H$416:H$442)</f>
        <v>0</v>
      </c>
      <c r="L28" s="57">
        <f>SUMIF(I$416:I$442,"i",H$416:H$442)</f>
        <v>0</v>
      </c>
      <c r="M28" s="58">
        <f t="shared" si="2"/>
        <v>0</v>
      </c>
      <c r="N28" s="59">
        <f t="shared" si="3"/>
        <v>0</v>
      </c>
    </row>
    <row r="29" spans="1:14" s="47" customFormat="1" ht="16.5">
      <c r="A29" s="48"/>
      <c r="B29" s="49"/>
      <c r="C29" s="60" t="s">
        <v>780</v>
      </c>
      <c r="D29" s="51" t="str">
        <f>Kapitola_2i</f>
        <v>Vzduchotechnika</v>
      </c>
      <c r="E29" s="52"/>
      <c r="F29" s="53"/>
      <c r="G29" s="54">
        <f>+Cena_2i</f>
        <v>0</v>
      </c>
      <c r="H29" s="54"/>
      <c r="I29" s="55"/>
      <c r="J29" s="56"/>
      <c r="K29" s="57">
        <f>SUMIF(I$447:I$467,"O",H$447:H$467)</f>
        <v>0</v>
      </c>
      <c r="L29" s="57">
        <f>SUMIF(I$447:I$467,"i",H$447:H$467)</f>
        <v>0</v>
      </c>
      <c r="M29" s="58">
        <f t="shared" si="2"/>
        <v>0</v>
      </c>
      <c r="N29" s="59">
        <f t="shared" si="3"/>
        <v>0</v>
      </c>
    </row>
    <row r="30" spans="1:14" s="47" customFormat="1" ht="16.5">
      <c r="A30" s="48"/>
      <c r="B30" s="49"/>
      <c r="C30" s="63" t="s">
        <v>781</v>
      </c>
      <c r="D30" s="51" t="str">
        <f>+D470</f>
        <v>Topení</v>
      </c>
      <c r="E30" s="52"/>
      <c r="F30" s="53"/>
      <c r="G30" s="54">
        <f>+H477</f>
        <v>0</v>
      </c>
      <c r="H30" s="54"/>
      <c r="I30" s="55"/>
      <c r="J30" s="56"/>
      <c r="K30" s="57">
        <f>SUMIF(I$472:I$476,"O",H$472:H$476)</f>
        <v>0</v>
      </c>
      <c r="L30" s="57">
        <f>SUMIF(I$472:I$476,"i",H$472:H$476)</f>
        <v>0</v>
      </c>
      <c r="M30" s="58">
        <f t="shared" si="2"/>
        <v>0</v>
      </c>
      <c r="N30" s="59">
        <f t="shared" si="3"/>
        <v>0</v>
      </c>
    </row>
    <row r="31" spans="1:14" s="47" customFormat="1" ht="16.5">
      <c r="A31" s="48"/>
      <c r="B31" s="49"/>
      <c r="C31" s="61" t="s">
        <v>782</v>
      </c>
      <c r="D31" s="51" t="str">
        <f>+D479</f>
        <v>Plyn</v>
      </c>
      <c r="E31" s="52"/>
      <c r="F31" s="53"/>
      <c r="G31" s="54">
        <f>+H506</f>
        <v>0</v>
      </c>
      <c r="H31" s="54"/>
      <c r="I31" s="64"/>
      <c r="J31" s="65"/>
      <c r="K31" s="57">
        <f>SUMIF(I$481:I$505,"O",H$481:H$505)</f>
        <v>0</v>
      </c>
      <c r="L31" s="57">
        <f>SUMIF(I$481:I$505,"i",H$481:H$505)</f>
        <v>0</v>
      </c>
      <c r="M31" s="58">
        <f t="shared" si="2"/>
        <v>0</v>
      </c>
      <c r="N31" s="59">
        <f t="shared" si="3"/>
        <v>0</v>
      </c>
    </row>
    <row r="32" spans="1:14" s="47" customFormat="1" ht="16.5">
      <c r="A32" s="48"/>
      <c r="B32" s="49"/>
      <c r="C32" s="50">
        <v>4</v>
      </c>
      <c r="D32" s="51" t="str">
        <f>Kapitola_2g</f>
        <v>Elektroinstalace - silnoproud </v>
      </c>
      <c r="E32" s="52"/>
      <c r="F32" s="53"/>
      <c r="G32" s="54"/>
      <c r="H32" s="54">
        <f>+Cena_2g</f>
        <v>0</v>
      </c>
      <c r="I32" s="55"/>
      <c r="J32" s="56"/>
      <c r="K32" s="57">
        <f>SUMIF(I$510:I$512,"O",H$510:H$512)</f>
        <v>0</v>
      </c>
      <c r="L32" s="57">
        <f>SUMIF(I$510:I$512,"i",H$510:H$512)</f>
        <v>0</v>
      </c>
      <c r="M32" s="58">
        <f t="shared" si="2"/>
        <v>0</v>
      </c>
      <c r="N32" s="59">
        <f>+H32-M32</f>
        <v>0</v>
      </c>
    </row>
    <row r="33" spans="1:14" s="47" customFormat="1" ht="16.5">
      <c r="A33" s="48"/>
      <c r="B33" s="49"/>
      <c r="C33" s="50">
        <v>5</v>
      </c>
      <c r="D33" s="51" t="str">
        <f>Kapitola_2h</f>
        <v>Elektroinstalace - slaboproud</v>
      </c>
      <c r="E33" s="52"/>
      <c r="F33" s="53"/>
      <c r="G33" s="54"/>
      <c r="H33" s="54">
        <f>+Cena_2h</f>
        <v>0</v>
      </c>
      <c r="I33" s="55"/>
      <c r="J33" s="56"/>
      <c r="K33" s="57">
        <f>SUMIF(I$517:I$518,"O",H$517:H$518)</f>
        <v>0</v>
      </c>
      <c r="L33" s="57">
        <f>SUMIF(I$517:I$518,"i",H$517:H$518)</f>
        <v>0</v>
      </c>
      <c r="M33" s="58">
        <f t="shared" si="2"/>
        <v>0</v>
      </c>
      <c r="N33" s="59">
        <f>+H33-M33</f>
        <v>0</v>
      </c>
    </row>
    <row r="34" spans="1:14" s="47" customFormat="1" ht="16.5">
      <c r="A34" s="48"/>
      <c r="B34" s="66"/>
      <c r="C34" s="50">
        <v>6</v>
      </c>
      <c r="D34" s="51" t="str">
        <f>Dokoncovaci_prace</f>
        <v>Dokončovací práce</v>
      </c>
      <c r="E34" s="52"/>
      <c r="F34" s="53"/>
      <c r="G34" s="54"/>
      <c r="H34" s="54">
        <f>Cena_dokoncovaci_prace</f>
        <v>0</v>
      </c>
      <c r="I34" s="55"/>
      <c r="J34" s="56"/>
      <c r="K34" s="57">
        <f>SUMIF(I$522:I$522,"O",H$522:H$522)</f>
        <v>0</v>
      </c>
      <c r="L34" s="57">
        <f>SUMIF(I$522:I$522,"i",H$522:H$522)</f>
        <v>0</v>
      </c>
      <c r="M34" s="58">
        <f t="shared" si="2"/>
        <v>0</v>
      </c>
      <c r="N34" s="59">
        <f>+H34-M34</f>
        <v>0</v>
      </c>
    </row>
    <row r="35" spans="4:13" ht="12.75">
      <c r="D35" s="67"/>
      <c r="E35" s="22"/>
      <c r="F35" s="68"/>
      <c r="G35" s="69"/>
      <c r="H35" s="69"/>
      <c r="K35" s="33"/>
      <c r="L35" s="33"/>
      <c r="M35" s="33"/>
    </row>
    <row r="36" spans="4:13" ht="15" customHeight="1">
      <c r="D36" s="70" t="s">
        <v>863</v>
      </c>
      <c r="E36" s="71"/>
      <c r="F36" s="72"/>
      <c r="G36" s="322">
        <f>SUM(H15:H34)</f>
        <v>0</v>
      </c>
      <c r="H36" s="322"/>
      <c r="K36" s="73">
        <f>SUM(K15:K35)</f>
        <v>0</v>
      </c>
      <c r="L36" s="73">
        <f>SUM(L15:L35)</f>
        <v>0</v>
      </c>
      <c r="M36" s="73">
        <f>SUM(K36:L36)</f>
        <v>0</v>
      </c>
    </row>
    <row r="37" spans="4:8" ht="12.75">
      <c r="D37" s="74"/>
      <c r="E37" s="71"/>
      <c r="F37" s="75"/>
      <c r="G37" s="76"/>
      <c r="H37" s="77"/>
    </row>
    <row r="38" spans="4:8" ht="16.5">
      <c r="D38" s="51" t="s">
        <v>93</v>
      </c>
      <c r="E38" s="71"/>
      <c r="F38" s="75"/>
      <c r="G38" s="79"/>
      <c r="H38" s="80">
        <f>+H110</f>
        <v>0</v>
      </c>
    </row>
    <row r="39" spans="4:8" ht="13.5" thickBot="1">
      <c r="D39" s="81"/>
      <c r="E39" s="82"/>
      <c r="F39" s="83"/>
      <c r="G39" s="84"/>
      <c r="H39" s="69"/>
    </row>
    <row r="40" spans="4:8" ht="15.75" thickBot="1">
      <c r="D40" s="85" t="s">
        <v>622</v>
      </c>
      <c r="E40" s="86"/>
      <c r="F40" s="87"/>
      <c r="G40" s="88"/>
      <c r="H40" s="89">
        <f>+G36+H38</f>
        <v>0</v>
      </c>
    </row>
    <row r="41" spans="4:9" ht="12.75">
      <c r="D41" s="90"/>
      <c r="E41" s="91"/>
      <c r="F41" s="92"/>
      <c r="G41" s="93"/>
      <c r="H41" s="91"/>
      <c r="I41" s="94"/>
    </row>
    <row r="42" spans="4:9" ht="12.75">
      <c r="D42" s="74" t="s">
        <v>864</v>
      </c>
      <c r="E42" s="71"/>
      <c r="F42" s="75"/>
      <c r="G42" s="95">
        <v>0.15</v>
      </c>
      <c r="H42" s="96">
        <f>ROUND((G36+H38)*G42,0)</f>
        <v>0</v>
      </c>
      <c r="I42" s="94"/>
    </row>
    <row r="43" spans="4:8" ht="12.75">
      <c r="D43" s="74" t="s">
        <v>864</v>
      </c>
      <c r="E43" s="71"/>
      <c r="F43" s="75"/>
      <c r="G43" s="95">
        <v>0.21</v>
      </c>
      <c r="H43" s="96"/>
    </row>
    <row r="44" spans="4:8" ht="13.5" thickBot="1">
      <c r="D44" s="97"/>
      <c r="E44" s="98"/>
      <c r="F44" s="99"/>
      <c r="G44" s="100"/>
      <c r="H44" s="98"/>
    </row>
    <row r="45" spans="4:8" ht="16.5" thickBot="1">
      <c r="D45" s="101" t="s">
        <v>865</v>
      </c>
      <c r="E45" s="98"/>
      <c r="F45" s="99"/>
      <c r="G45" s="321">
        <f>G36+H38+H42+H43</f>
        <v>0</v>
      </c>
      <c r="H45" s="321"/>
    </row>
    <row r="48" spans="4:8" ht="15">
      <c r="D48" s="102" t="s">
        <v>94</v>
      </c>
      <c r="E48" s="11"/>
      <c r="F48" s="103"/>
      <c r="G48" s="11"/>
      <c r="H48" s="11"/>
    </row>
    <row r="49" spans="4:9" ht="12.75">
      <c r="D49" s="104" t="s">
        <v>619</v>
      </c>
      <c r="E49" s="105"/>
      <c r="F49" s="103"/>
      <c r="G49" s="11"/>
      <c r="H49" s="106">
        <f>+K36</f>
        <v>0</v>
      </c>
      <c r="I49" s="107" t="e">
        <f>+H49/G36</f>
        <v>#DIV/0!</v>
      </c>
    </row>
    <row r="50" spans="4:9" ht="12.75">
      <c r="D50" s="104" t="s">
        <v>620</v>
      </c>
      <c r="E50" s="105"/>
      <c r="F50" s="103"/>
      <c r="G50" s="11"/>
      <c r="H50" s="106">
        <f>+L36</f>
        <v>0</v>
      </c>
      <c r="I50" s="107" t="e">
        <f>+H50/G36</f>
        <v>#DIV/0!</v>
      </c>
    </row>
    <row r="51" spans="4:8" ht="12.75">
      <c r="D51" s="11"/>
      <c r="E51" s="11"/>
      <c r="F51" s="103"/>
      <c r="G51" s="11"/>
      <c r="H51" s="34"/>
    </row>
    <row r="52" spans="4:8" ht="15">
      <c r="D52" s="102" t="s">
        <v>96</v>
      </c>
      <c r="E52" s="11"/>
      <c r="F52" s="103"/>
      <c r="G52" s="11"/>
      <c r="H52" s="34"/>
    </row>
    <row r="53" spans="4:8" ht="12.75">
      <c r="D53" s="104" t="s">
        <v>619</v>
      </c>
      <c r="E53" s="105"/>
      <c r="F53" s="103"/>
      <c r="G53" s="11"/>
      <c r="H53" s="108" t="e">
        <f>+I49*H38</f>
        <v>#DIV/0!</v>
      </c>
    </row>
    <row r="54" spans="4:8" ht="12.75">
      <c r="D54" s="104" t="s">
        <v>620</v>
      </c>
      <c r="E54" s="105"/>
      <c r="F54" s="103"/>
      <c r="G54" s="11"/>
      <c r="H54" s="108" t="e">
        <f>+I50*H38</f>
        <v>#DIV/0!</v>
      </c>
    </row>
    <row r="55" spans="4:8" ht="12.75">
      <c r="D55" s="11"/>
      <c r="E55" s="11"/>
      <c r="F55" s="103"/>
      <c r="G55" s="11"/>
      <c r="H55" s="34"/>
    </row>
    <row r="56" spans="4:8" ht="15">
      <c r="D56" s="102" t="s">
        <v>95</v>
      </c>
      <c r="E56" s="11"/>
      <c r="F56" s="103"/>
      <c r="G56" s="11"/>
      <c r="H56" s="34"/>
    </row>
    <row r="57" spans="4:9" ht="12.75">
      <c r="D57" s="104" t="s">
        <v>619</v>
      </c>
      <c r="E57" s="105"/>
      <c r="F57" s="103"/>
      <c r="G57" s="11"/>
      <c r="H57" s="106" t="e">
        <f>+H49+H53</f>
        <v>#DIV/0!</v>
      </c>
      <c r="I57" s="107" t="e">
        <f>+H57/H40</f>
        <v>#DIV/0!</v>
      </c>
    </row>
    <row r="58" spans="4:9" ht="12.75">
      <c r="D58" s="104" t="s">
        <v>620</v>
      </c>
      <c r="E58" s="105"/>
      <c r="F58" s="103"/>
      <c r="G58" s="11"/>
      <c r="H58" s="106" t="e">
        <f>+H50+H54</f>
        <v>#DIV/0!</v>
      </c>
      <c r="I58" s="107" t="e">
        <f>+H58/H40</f>
        <v>#DIV/0!</v>
      </c>
    </row>
    <row r="60" spans="4:8" ht="18">
      <c r="D60" s="109" t="s">
        <v>537</v>
      </c>
      <c r="E60" s="22"/>
      <c r="F60" s="68"/>
      <c r="G60" s="110"/>
      <c r="H60" s="22"/>
    </row>
    <row r="61" ht="7.5" customHeight="1"/>
    <row r="62" ht="12.75">
      <c r="D62" s="111" t="s">
        <v>866</v>
      </c>
    </row>
    <row r="63" spans="4:8" ht="12.75">
      <c r="D63" s="112" t="s">
        <v>867</v>
      </c>
      <c r="E63" s="113"/>
      <c r="F63" s="114"/>
      <c r="G63" s="115"/>
      <c r="H63" s="113"/>
    </row>
    <row r="64" spans="4:8" ht="38.25" customHeight="1">
      <c r="D64" s="308" t="s">
        <v>540</v>
      </c>
      <c r="E64" s="309"/>
      <c r="F64" s="309"/>
      <c r="G64" s="309"/>
      <c r="H64" s="309"/>
    </row>
    <row r="65" spans="4:8" ht="12.75">
      <c r="D65" s="320" t="s">
        <v>868</v>
      </c>
      <c r="E65" s="320"/>
      <c r="F65" s="320"/>
      <c r="G65" s="320"/>
      <c r="H65" s="320"/>
    </row>
    <row r="66" spans="4:8" ht="38.25" customHeight="1">
      <c r="D66" s="308" t="s">
        <v>541</v>
      </c>
      <c r="E66" s="309"/>
      <c r="F66" s="309"/>
      <c r="G66" s="309"/>
      <c r="H66" s="309"/>
    </row>
    <row r="67" spans="4:8" ht="25.5" customHeight="1">
      <c r="D67" s="308" t="s">
        <v>542</v>
      </c>
      <c r="E67" s="309"/>
      <c r="F67" s="309"/>
      <c r="G67" s="309"/>
      <c r="H67" s="309"/>
    </row>
    <row r="68" spans="4:8" ht="12.75">
      <c r="D68" s="320" t="s">
        <v>869</v>
      </c>
      <c r="E68" s="320"/>
      <c r="F68" s="320"/>
      <c r="G68" s="320"/>
      <c r="H68" s="320"/>
    </row>
    <row r="69" spans="4:8" ht="12.75" customHeight="1">
      <c r="D69" s="308" t="s">
        <v>543</v>
      </c>
      <c r="E69" s="309"/>
      <c r="F69" s="309"/>
      <c r="G69" s="309"/>
      <c r="H69" s="309"/>
    </row>
    <row r="70" spans="4:8" ht="12.75" customHeight="1">
      <c r="D70" s="308" t="s">
        <v>544</v>
      </c>
      <c r="E70" s="309"/>
      <c r="F70" s="309"/>
      <c r="G70" s="309"/>
      <c r="H70" s="309"/>
    </row>
    <row r="71" spans="4:8" ht="39" customHeight="1">
      <c r="D71" s="313" t="s">
        <v>522</v>
      </c>
      <c r="E71" s="314"/>
      <c r="F71" s="314"/>
      <c r="G71" s="314"/>
      <c r="H71" s="314"/>
    </row>
    <row r="72" spans="1:11" s="121" customFormat="1" ht="9.75">
      <c r="A72" s="117"/>
      <c r="B72" s="118"/>
      <c r="C72" s="119"/>
      <c r="D72" s="120"/>
      <c r="F72" s="122"/>
      <c r="G72" s="123"/>
      <c r="I72" s="124"/>
      <c r="J72" s="125"/>
      <c r="K72" s="126"/>
    </row>
    <row r="73" spans="4:8" ht="38.25" customHeight="1">
      <c r="D73" s="309" t="s">
        <v>870</v>
      </c>
      <c r="E73" s="309"/>
      <c r="F73" s="309"/>
      <c r="G73" s="309"/>
      <c r="H73" s="309"/>
    </row>
    <row r="74" spans="1:11" s="121" customFormat="1" ht="7.5" customHeight="1">
      <c r="A74" s="117"/>
      <c r="B74" s="118"/>
      <c r="C74" s="119"/>
      <c r="D74" s="116"/>
      <c r="E74" s="116"/>
      <c r="F74" s="127"/>
      <c r="G74" s="116"/>
      <c r="H74" s="116"/>
      <c r="I74" s="124"/>
      <c r="J74" s="125"/>
      <c r="K74" s="126"/>
    </row>
    <row r="75" spans="4:8" ht="27.75" customHeight="1">
      <c r="D75" s="309" t="s">
        <v>871</v>
      </c>
      <c r="E75" s="309"/>
      <c r="F75" s="309"/>
      <c r="G75" s="309"/>
      <c r="H75" s="309"/>
    </row>
    <row r="76" spans="4:8" ht="26.25" customHeight="1">
      <c r="D76" s="116" t="s">
        <v>0</v>
      </c>
      <c r="E76" s="116"/>
      <c r="F76" s="127"/>
      <c r="G76" s="116"/>
      <c r="H76" s="116"/>
    </row>
    <row r="77" spans="4:8" ht="15.75" customHeight="1">
      <c r="D77" s="308" t="s">
        <v>538</v>
      </c>
      <c r="E77" s="308"/>
      <c r="F77" s="308"/>
      <c r="G77" s="308"/>
      <c r="H77" s="308"/>
    </row>
    <row r="78" spans="4:8" ht="93" customHeight="1">
      <c r="D78" s="311" t="s">
        <v>518</v>
      </c>
      <c r="E78" s="311"/>
      <c r="F78" s="311"/>
      <c r="G78" s="311"/>
      <c r="H78" s="311"/>
    </row>
    <row r="79" spans="5:8" ht="12.75">
      <c r="E79" s="128"/>
      <c r="F79" s="129"/>
      <c r="G79" s="130"/>
      <c r="H79" s="128"/>
    </row>
    <row r="80" spans="4:8" ht="18.75" customHeight="1">
      <c r="D80" s="306" t="s">
        <v>525</v>
      </c>
      <c r="E80" s="323"/>
      <c r="F80" s="323"/>
      <c r="G80" s="323"/>
      <c r="H80" s="323"/>
    </row>
    <row r="81" spans="1:8" ht="14.25" customHeight="1">
      <c r="A81" s="131"/>
      <c r="B81" s="132"/>
      <c r="C81" s="133"/>
      <c r="D81" s="306" t="s">
        <v>524</v>
      </c>
      <c r="E81" s="323"/>
      <c r="F81" s="323"/>
      <c r="G81" s="323"/>
      <c r="H81" s="323"/>
    </row>
    <row r="82" spans="1:8" ht="14.25" customHeight="1">
      <c r="A82" s="131"/>
      <c r="B82" s="132"/>
      <c r="C82" s="133"/>
      <c r="D82" s="134"/>
      <c r="E82" s="135"/>
      <c r="F82" s="135"/>
      <c r="G82" s="135"/>
      <c r="H82" s="136"/>
    </row>
    <row r="83" spans="1:8" ht="14.25" customHeight="1">
      <c r="A83" s="131"/>
      <c r="B83" s="132"/>
      <c r="C83" s="133"/>
      <c r="D83" s="134"/>
      <c r="E83" s="135"/>
      <c r="F83" s="135"/>
      <c r="G83" s="135"/>
      <c r="H83" s="137"/>
    </row>
    <row r="84" spans="1:11" ht="14.25" customHeight="1">
      <c r="A84" s="131"/>
      <c r="B84" s="138"/>
      <c r="C84" s="139"/>
      <c r="D84" s="140" t="s">
        <v>65</v>
      </c>
      <c r="E84" s="141"/>
      <c r="F84" s="142"/>
      <c r="G84" s="143"/>
      <c r="H84" s="144"/>
      <c r="I84" s="26"/>
      <c r="J84" s="26"/>
      <c r="K84" s="26"/>
    </row>
    <row r="85" spans="1:11" ht="14.25" customHeight="1">
      <c r="A85" s="131"/>
      <c r="B85" s="138"/>
      <c r="C85" s="11"/>
      <c r="D85" s="11"/>
      <c r="E85" s="11"/>
      <c r="F85" s="11"/>
      <c r="G85" s="11"/>
      <c r="H85" s="11"/>
      <c r="I85" s="26"/>
      <c r="J85" s="26"/>
      <c r="K85" s="26"/>
    </row>
    <row r="86" spans="1:11" ht="14.25" customHeight="1">
      <c r="A86" s="131"/>
      <c r="B86" s="138"/>
      <c r="C86" s="145"/>
      <c r="D86" s="146" t="s">
        <v>65</v>
      </c>
      <c r="E86" s="147" t="s">
        <v>66</v>
      </c>
      <c r="F86" s="148" t="s">
        <v>67</v>
      </c>
      <c r="G86" s="149" t="s">
        <v>68</v>
      </c>
      <c r="H86" s="149" t="s">
        <v>69</v>
      </c>
      <c r="I86" s="26"/>
      <c r="J86" s="26"/>
      <c r="K86" s="26"/>
    </row>
    <row r="87" spans="1:11" ht="14.25" customHeight="1">
      <c r="A87" s="131"/>
      <c r="B87" s="138"/>
      <c r="C87" s="145" t="s">
        <v>70</v>
      </c>
      <c r="D87" s="150" t="s">
        <v>71</v>
      </c>
      <c r="E87" s="151"/>
      <c r="F87" s="152"/>
      <c r="G87" s="153"/>
      <c r="H87" s="153"/>
      <c r="I87" s="26"/>
      <c r="J87" s="26"/>
      <c r="K87" s="26"/>
    </row>
    <row r="88" spans="1:11" ht="23.25" customHeight="1">
      <c r="A88" s="131"/>
      <c r="B88" s="154">
        <f>B87+1</f>
        <v>1</v>
      </c>
      <c r="C88" s="16"/>
      <c r="D88" s="14" t="s">
        <v>600</v>
      </c>
      <c r="E88" s="8" t="s">
        <v>1</v>
      </c>
      <c r="F88" s="155">
        <v>1</v>
      </c>
      <c r="G88" s="332"/>
      <c r="H88" s="9">
        <f>F88*G88</f>
        <v>0</v>
      </c>
      <c r="I88" s="26"/>
      <c r="J88" s="26"/>
      <c r="K88" s="26"/>
    </row>
    <row r="89" spans="1:11" ht="14.25" customHeight="1">
      <c r="A89" s="131"/>
      <c r="B89" s="154"/>
      <c r="C89" s="145" t="s">
        <v>72</v>
      </c>
      <c r="D89" s="150" t="s">
        <v>73</v>
      </c>
      <c r="E89" s="151"/>
      <c r="F89" s="152"/>
      <c r="G89" s="153"/>
      <c r="H89" s="153"/>
      <c r="I89" s="26"/>
      <c r="J89" s="26"/>
      <c r="K89" s="26"/>
    </row>
    <row r="90" spans="1:11" ht="14.25" customHeight="1">
      <c r="A90" s="131"/>
      <c r="B90" s="154">
        <f>B88+1</f>
        <v>2</v>
      </c>
      <c r="C90" s="16"/>
      <c r="D90" s="14" t="s">
        <v>74</v>
      </c>
      <c r="E90" s="8" t="s">
        <v>1</v>
      </c>
      <c r="F90" s="155">
        <v>1</v>
      </c>
      <c r="G90" s="332"/>
      <c r="H90" s="9">
        <f>F90*G90</f>
        <v>0</v>
      </c>
      <c r="I90" s="26"/>
      <c r="J90" s="26"/>
      <c r="K90" s="26"/>
    </row>
    <row r="91" spans="1:11" ht="126.75" customHeight="1">
      <c r="A91" s="131"/>
      <c r="B91" s="138"/>
      <c r="C91" s="139"/>
      <c r="D91" s="312" t="s">
        <v>241</v>
      </c>
      <c r="E91" s="312"/>
      <c r="F91" s="312"/>
      <c r="G91" s="312"/>
      <c r="H91" s="312"/>
      <c r="I91" s="26"/>
      <c r="J91" s="26"/>
      <c r="K91" s="26"/>
    </row>
    <row r="92" spans="1:11" ht="14.25" customHeight="1">
      <c r="A92" s="131"/>
      <c r="B92" s="138"/>
      <c r="C92" s="139"/>
      <c r="D92" s="156"/>
      <c r="E92" s="157"/>
      <c r="F92" s="158"/>
      <c r="G92" s="159"/>
      <c r="H92" s="160"/>
      <c r="I92" s="26"/>
      <c r="J92" s="26"/>
      <c r="K92" s="26"/>
    </row>
    <row r="93" spans="1:11" ht="14.25" customHeight="1">
      <c r="A93" s="131"/>
      <c r="B93" s="138"/>
      <c r="C93" s="145" t="s">
        <v>75</v>
      </c>
      <c r="D93" s="150" t="s">
        <v>76</v>
      </c>
      <c r="E93" s="151"/>
      <c r="F93" s="152"/>
      <c r="G93" s="153"/>
      <c r="H93" s="153"/>
      <c r="I93" s="26"/>
      <c r="J93" s="26"/>
      <c r="K93" s="26"/>
    </row>
    <row r="94" spans="1:11" ht="38.25">
      <c r="A94" s="131"/>
      <c r="B94" s="154">
        <f>B90+1</f>
        <v>3</v>
      </c>
      <c r="C94" s="16"/>
      <c r="D94" s="14" t="s">
        <v>77</v>
      </c>
      <c r="E94" s="8" t="s">
        <v>1</v>
      </c>
      <c r="F94" s="155">
        <v>1</v>
      </c>
      <c r="G94" s="332"/>
      <c r="H94" s="9">
        <f>F94*G94</f>
        <v>0</v>
      </c>
      <c r="I94" s="26"/>
      <c r="J94" s="26"/>
      <c r="K94" s="26"/>
    </row>
    <row r="95" spans="1:11" ht="172.5" customHeight="1">
      <c r="A95" s="131"/>
      <c r="B95" s="138"/>
      <c r="C95" s="139"/>
      <c r="D95" s="315" t="s">
        <v>267</v>
      </c>
      <c r="E95" s="315"/>
      <c r="F95" s="315"/>
      <c r="G95" s="315"/>
      <c r="H95" s="315"/>
      <c r="I95" s="26"/>
      <c r="J95" s="26"/>
      <c r="K95" s="26"/>
    </row>
    <row r="96" spans="1:11" ht="14.25" customHeight="1">
      <c r="A96" s="131"/>
      <c r="B96" s="138"/>
      <c r="C96" s="139"/>
      <c r="D96" s="161"/>
      <c r="E96" s="157"/>
      <c r="F96" s="158"/>
      <c r="G96" s="159"/>
      <c r="H96" s="160"/>
      <c r="I96" s="26"/>
      <c r="J96" s="26"/>
      <c r="K96" s="26"/>
    </row>
    <row r="97" spans="1:11" ht="14.25" customHeight="1">
      <c r="A97" s="131"/>
      <c r="B97" s="138"/>
      <c r="C97" s="145" t="s">
        <v>78</v>
      </c>
      <c r="D97" s="150" t="s">
        <v>79</v>
      </c>
      <c r="E97" s="151"/>
      <c r="F97" s="152"/>
      <c r="G97" s="153"/>
      <c r="H97" s="153"/>
      <c r="I97" s="26"/>
      <c r="J97" s="26"/>
      <c r="K97" s="26"/>
    </row>
    <row r="98" spans="1:11" ht="51" hidden="1">
      <c r="A98" s="131"/>
      <c r="B98" s="154"/>
      <c r="C98" s="16"/>
      <c r="D98" s="14" t="s">
        <v>80</v>
      </c>
      <c r="E98" s="8" t="s">
        <v>1</v>
      </c>
      <c r="F98" s="155">
        <v>1</v>
      </c>
      <c r="G98" s="1"/>
      <c r="H98" s="9">
        <f>F98*G98</f>
        <v>0</v>
      </c>
      <c r="I98" s="26"/>
      <c r="J98" s="26"/>
      <c r="K98" s="26"/>
    </row>
    <row r="99" spans="1:11" ht="76.5">
      <c r="A99" s="131"/>
      <c r="B99" s="154">
        <f>B94+1</f>
        <v>4</v>
      </c>
      <c r="C99" s="16"/>
      <c r="D99" s="14" t="s">
        <v>92</v>
      </c>
      <c r="E99" s="8" t="s">
        <v>1</v>
      </c>
      <c r="F99" s="155">
        <v>1</v>
      </c>
      <c r="G99" s="332"/>
      <c r="H99" s="9">
        <f>F99*G99</f>
        <v>0</v>
      </c>
      <c r="I99" s="26"/>
      <c r="J99" s="26"/>
      <c r="K99" s="26"/>
    </row>
    <row r="100" spans="1:8" ht="25.5" hidden="1">
      <c r="A100" s="131"/>
      <c r="B100" s="154"/>
      <c r="C100" s="16"/>
      <c r="D100" s="14" t="s">
        <v>81</v>
      </c>
      <c r="E100" s="8" t="s">
        <v>1</v>
      </c>
      <c r="F100" s="155">
        <v>1</v>
      </c>
      <c r="G100" s="1"/>
      <c r="H100" s="9">
        <f>F100*G100</f>
        <v>0</v>
      </c>
    </row>
    <row r="101" spans="1:8" ht="14.25" customHeight="1">
      <c r="A101" s="131"/>
      <c r="B101" s="138"/>
      <c r="C101" s="145" t="s">
        <v>82</v>
      </c>
      <c r="D101" s="150" t="s">
        <v>83</v>
      </c>
      <c r="E101" s="151"/>
      <c r="F101" s="152"/>
      <c r="G101" s="153"/>
      <c r="H101" s="153"/>
    </row>
    <row r="102" spans="1:8" ht="76.5">
      <c r="A102" s="131"/>
      <c r="B102" s="154">
        <f>+B99+1</f>
        <v>5</v>
      </c>
      <c r="C102" s="16"/>
      <c r="D102" s="14" t="s">
        <v>91</v>
      </c>
      <c r="E102" s="8" t="s">
        <v>1</v>
      </c>
      <c r="F102" s="155">
        <v>1</v>
      </c>
      <c r="G102" s="332"/>
      <c r="H102" s="9">
        <f>F102*G102</f>
        <v>0</v>
      </c>
    </row>
    <row r="103" spans="1:8" ht="14.25" customHeight="1">
      <c r="A103" s="131"/>
      <c r="B103" s="154"/>
      <c r="C103" s="145" t="s">
        <v>84</v>
      </c>
      <c r="D103" s="150" t="s">
        <v>85</v>
      </c>
      <c r="E103" s="151"/>
      <c r="F103" s="152"/>
      <c r="G103" s="153"/>
      <c r="H103" s="153"/>
    </row>
    <row r="104" spans="1:8" ht="153">
      <c r="A104" s="131"/>
      <c r="B104" s="154">
        <f>+B102+1</f>
        <v>6</v>
      </c>
      <c r="C104" s="16"/>
      <c r="D104" s="14" t="s">
        <v>268</v>
      </c>
      <c r="E104" s="8" t="s">
        <v>1</v>
      </c>
      <c r="F104" s="155">
        <v>1</v>
      </c>
      <c r="G104" s="332"/>
      <c r="H104" s="9">
        <f>F104*G104</f>
        <v>0</v>
      </c>
    </row>
    <row r="105" spans="1:8" ht="14.25" customHeight="1">
      <c r="A105" s="131"/>
      <c r="B105" s="154">
        <f>+B104+1</f>
        <v>7</v>
      </c>
      <c r="C105" s="145" t="s">
        <v>86</v>
      </c>
      <c r="D105" s="150" t="s">
        <v>87</v>
      </c>
      <c r="E105" s="151"/>
      <c r="F105" s="152"/>
      <c r="G105" s="153"/>
      <c r="H105" s="153"/>
    </row>
    <row r="106" spans="1:8" ht="25.5">
      <c r="A106" s="131"/>
      <c r="B106" s="154"/>
      <c r="C106" s="16"/>
      <c r="D106" s="14" t="s">
        <v>88</v>
      </c>
      <c r="E106" s="8" t="s">
        <v>1</v>
      </c>
      <c r="F106" s="155">
        <v>1</v>
      </c>
      <c r="G106" s="332"/>
      <c r="H106" s="9">
        <f>F106*G106</f>
        <v>0</v>
      </c>
    </row>
    <row r="107" spans="1:8" ht="110.25" customHeight="1">
      <c r="A107" s="131"/>
      <c r="B107" s="154"/>
      <c r="C107" s="16"/>
      <c r="D107" s="315" t="s">
        <v>89</v>
      </c>
      <c r="E107" s="315"/>
      <c r="F107" s="315"/>
      <c r="G107" s="315"/>
      <c r="H107" s="315"/>
    </row>
    <row r="108" spans="1:8" ht="14.25" customHeight="1">
      <c r="A108" s="131"/>
      <c r="B108" s="154">
        <f>B105+1</f>
        <v>8</v>
      </c>
      <c r="C108" s="16"/>
      <c r="D108" s="14" t="s">
        <v>90</v>
      </c>
      <c r="E108" s="8" t="s">
        <v>1</v>
      </c>
      <c r="F108" s="155">
        <v>1</v>
      </c>
      <c r="G108" s="332"/>
      <c r="H108" s="9">
        <f>F108*G108</f>
        <v>0</v>
      </c>
    </row>
    <row r="109" spans="1:8" ht="78" customHeight="1" thickBot="1">
      <c r="A109" s="131"/>
      <c r="B109" s="138"/>
      <c r="C109" s="139"/>
      <c r="D109" s="305" t="s">
        <v>184</v>
      </c>
      <c r="E109" s="305"/>
      <c r="F109" s="305"/>
      <c r="G109" s="305"/>
      <c r="H109" s="305"/>
    </row>
    <row r="110" spans="1:8" ht="14.25" customHeight="1" thickBot="1">
      <c r="A110" s="131"/>
      <c r="B110" s="138"/>
      <c r="C110" s="139"/>
      <c r="D110" s="162" t="s">
        <v>3</v>
      </c>
      <c r="E110" s="163"/>
      <c r="F110" s="164"/>
      <c r="G110" s="165"/>
      <c r="H110" s="166">
        <f>ROUNDUP(SUBTOTAL(9,H88:H109),0)</f>
        <v>0</v>
      </c>
    </row>
    <row r="111" spans="1:8" ht="14.25" customHeight="1">
      <c r="A111" s="131"/>
      <c r="B111" s="138"/>
      <c r="C111" s="139"/>
      <c r="D111" s="167"/>
      <c r="E111" s="168"/>
      <c r="F111" s="169"/>
      <c r="G111" s="170"/>
      <c r="H111" s="171"/>
    </row>
    <row r="112" spans="1:10" ht="24.75" customHeight="1">
      <c r="A112" s="131"/>
      <c r="B112" s="172" t="s">
        <v>809</v>
      </c>
      <c r="C112" s="173"/>
      <c r="D112" s="67"/>
      <c r="E112" s="22"/>
      <c r="F112" s="26"/>
      <c r="G112" s="26"/>
      <c r="I112" s="26"/>
      <c r="J112" s="26"/>
    </row>
    <row r="113" spans="1:11" s="180" customFormat="1" ht="16.5">
      <c r="A113" s="174"/>
      <c r="B113" s="175"/>
      <c r="C113" s="176">
        <v>1</v>
      </c>
      <c r="D113" s="307" t="s">
        <v>624</v>
      </c>
      <c r="E113" s="307"/>
      <c r="F113" s="307"/>
      <c r="G113" s="307"/>
      <c r="H113" s="307"/>
      <c r="I113" s="177"/>
      <c r="J113" s="178"/>
      <c r="K113" s="179"/>
    </row>
    <row r="114" spans="1:18" ht="12.75">
      <c r="A114" s="181">
        <f aca="true" t="shared" si="4" ref="A114:A125">A113+1</f>
        <v>1</v>
      </c>
      <c r="B114" s="182" t="s">
        <v>797</v>
      </c>
      <c r="C114" s="183"/>
      <c r="D114" s="184" t="s">
        <v>562</v>
      </c>
      <c r="E114" s="185" t="s">
        <v>4</v>
      </c>
      <c r="F114" s="2">
        <v>3</v>
      </c>
      <c r="G114" s="331"/>
      <c r="H114" s="186">
        <f aca="true" t="shared" si="5" ref="H114:H132">F114*G114</f>
        <v>0</v>
      </c>
      <c r="I114" s="32" t="s">
        <v>618</v>
      </c>
      <c r="N114" s="78"/>
      <c r="O114" s="26">
        <v>0.014</v>
      </c>
      <c r="P114" s="30">
        <f>+F114</f>
        <v>3</v>
      </c>
      <c r="Q114" s="30">
        <f>+O114*P114</f>
        <v>0.042</v>
      </c>
      <c r="R114" s="11" t="s">
        <v>678</v>
      </c>
    </row>
    <row r="115" spans="1:18" ht="12.75">
      <c r="A115" s="181">
        <f>A114+1</f>
        <v>2</v>
      </c>
      <c r="B115" s="187" t="s">
        <v>276</v>
      </c>
      <c r="C115" s="16"/>
      <c r="D115" s="14" t="s">
        <v>277</v>
      </c>
      <c r="E115" s="8" t="s">
        <v>4</v>
      </c>
      <c r="F115" s="4">
        <v>4</v>
      </c>
      <c r="G115" s="331"/>
      <c r="H115" s="9">
        <f t="shared" si="5"/>
        <v>0</v>
      </c>
      <c r="I115" s="32" t="s">
        <v>618</v>
      </c>
      <c r="N115" s="78"/>
      <c r="P115" s="30"/>
      <c r="Q115" s="30">
        <f>0.077*F115</f>
        <v>0.308</v>
      </c>
      <c r="R115" s="11"/>
    </row>
    <row r="116" spans="1:18" ht="12.75">
      <c r="A116" s="181">
        <f>A115+1</f>
        <v>3</v>
      </c>
      <c r="B116" s="187" t="s">
        <v>278</v>
      </c>
      <c r="C116" s="16"/>
      <c r="D116" s="14" t="s">
        <v>279</v>
      </c>
      <c r="E116" s="8" t="s">
        <v>2</v>
      </c>
      <c r="F116" s="4">
        <f>0.4*1</f>
        <v>0.4</v>
      </c>
      <c r="G116" s="331"/>
      <c r="H116" s="9">
        <f t="shared" si="5"/>
        <v>0</v>
      </c>
      <c r="I116" s="32" t="s">
        <v>618</v>
      </c>
      <c r="N116" s="78"/>
      <c r="P116" s="30"/>
      <c r="Q116" s="30">
        <f>0.06*0.06*(2*1.5+2*1.5)*0.6*2</f>
        <v>0.025920000000000002</v>
      </c>
      <c r="R116" s="11" t="s">
        <v>678</v>
      </c>
    </row>
    <row r="117" spans="1:18" ht="12.75">
      <c r="A117" s="181">
        <f t="shared" si="4"/>
        <v>4</v>
      </c>
      <c r="B117" s="187" t="s">
        <v>280</v>
      </c>
      <c r="C117" s="16"/>
      <c r="D117" s="14" t="s">
        <v>281</v>
      </c>
      <c r="E117" s="8" t="s">
        <v>4</v>
      </c>
      <c r="F117" s="4">
        <v>1</v>
      </c>
      <c r="G117" s="331"/>
      <c r="H117" s="9">
        <f t="shared" si="5"/>
        <v>0</v>
      </c>
      <c r="I117" s="32" t="s">
        <v>618</v>
      </c>
      <c r="N117" s="78"/>
      <c r="P117" s="30"/>
      <c r="Q117" s="30"/>
      <c r="R117" s="11"/>
    </row>
    <row r="118" spans="1:17" s="11" customFormat="1" ht="12.75">
      <c r="A118" s="188">
        <f t="shared" si="4"/>
        <v>5</v>
      </c>
      <c r="B118" s="187" t="s">
        <v>517</v>
      </c>
      <c r="C118" s="16"/>
      <c r="D118" s="14" t="s">
        <v>242</v>
      </c>
      <c r="E118" s="8" t="s">
        <v>4</v>
      </c>
      <c r="F118" s="4">
        <v>1</v>
      </c>
      <c r="G118" s="331"/>
      <c r="H118" s="9">
        <f t="shared" si="5"/>
        <v>0</v>
      </c>
      <c r="I118" s="32" t="s">
        <v>618</v>
      </c>
      <c r="J118" s="10"/>
      <c r="P118" s="103"/>
      <c r="Q118" s="103"/>
    </row>
    <row r="119" spans="1:18" ht="25.5">
      <c r="A119" s="188">
        <f t="shared" si="4"/>
        <v>6</v>
      </c>
      <c r="B119" s="189" t="s">
        <v>666</v>
      </c>
      <c r="C119" s="190"/>
      <c r="D119" s="184" t="s">
        <v>763</v>
      </c>
      <c r="E119" s="185" t="s">
        <v>2</v>
      </c>
      <c r="F119" s="2">
        <f>F201</f>
        <v>113.9456</v>
      </c>
      <c r="G119" s="331"/>
      <c r="H119" s="186">
        <f t="shared" si="5"/>
        <v>0</v>
      </c>
      <c r="I119" s="94" t="s">
        <v>618</v>
      </c>
      <c r="N119" s="78"/>
      <c r="Q119" s="30">
        <f>0.004*F119</f>
        <v>0.45578240000000003</v>
      </c>
      <c r="R119" s="11"/>
    </row>
    <row r="120" spans="1:18" ht="13.5" customHeight="1">
      <c r="A120" s="188">
        <f t="shared" si="4"/>
        <v>7</v>
      </c>
      <c r="B120" s="182" t="s">
        <v>730</v>
      </c>
      <c r="C120" s="183"/>
      <c r="D120" s="14" t="s">
        <v>662</v>
      </c>
      <c r="E120" s="8" t="s">
        <v>2</v>
      </c>
      <c r="F120" s="4">
        <f>(3.7*0.6)+2.04*(1.065+1.46)+1.44*2*0.36+0.36*0.91</f>
        <v>8.7354</v>
      </c>
      <c r="G120" s="331"/>
      <c r="H120" s="9">
        <f t="shared" si="5"/>
        <v>0</v>
      </c>
      <c r="I120" s="94" t="s">
        <v>618</v>
      </c>
      <c r="N120" s="78"/>
      <c r="Q120" s="30">
        <f>0.068*F120</f>
        <v>0.5940072000000001</v>
      </c>
      <c r="R120" s="11"/>
    </row>
    <row r="121" spans="1:18" ht="12.75">
      <c r="A121" s="188">
        <f t="shared" si="4"/>
        <v>8</v>
      </c>
      <c r="B121" s="187" t="s">
        <v>282</v>
      </c>
      <c r="C121" s="6"/>
      <c r="D121" s="14" t="s">
        <v>283</v>
      </c>
      <c r="E121" s="8" t="s">
        <v>657</v>
      </c>
      <c r="F121" s="4">
        <f>0.25*2.05*0.15</f>
        <v>0.07687499999999999</v>
      </c>
      <c r="G121" s="331"/>
      <c r="H121" s="9">
        <f t="shared" si="5"/>
        <v>0</v>
      </c>
      <c r="I121" s="32" t="s">
        <v>618</v>
      </c>
      <c r="N121" s="78"/>
      <c r="O121" s="26">
        <v>2.1</v>
      </c>
      <c r="Q121" s="30">
        <f>+O121*F121</f>
        <v>0.16143749999999998</v>
      </c>
      <c r="R121" s="11"/>
    </row>
    <row r="122" spans="1:18" ht="25.5">
      <c r="A122" s="188">
        <f t="shared" si="4"/>
        <v>9</v>
      </c>
      <c r="B122" s="18" t="s">
        <v>192</v>
      </c>
      <c r="C122" s="19"/>
      <c r="D122" s="14" t="s">
        <v>213</v>
      </c>
      <c r="E122" s="8" t="s">
        <v>5</v>
      </c>
      <c r="F122" s="4">
        <f>0.6+4*0.19+0.2+2*0.5</f>
        <v>2.5599999999999996</v>
      </c>
      <c r="G122" s="331"/>
      <c r="H122" s="9">
        <f>F122*G122</f>
        <v>0</v>
      </c>
      <c r="I122" s="32" t="s">
        <v>618</v>
      </c>
      <c r="N122" s="78"/>
      <c r="Q122" s="30"/>
      <c r="R122" s="11"/>
    </row>
    <row r="123" spans="1:18" ht="25.5">
      <c r="A123" s="188">
        <f t="shared" si="4"/>
        <v>10</v>
      </c>
      <c r="B123" s="18" t="s">
        <v>284</v>
      </c>
      <c r="C123" s="19"/>
      <c r="D123" s="14" t="s">
        <v>243</v>
      </c>
      <c r="E123" s="8" t="s">
        <v>5</v>
      </c>
      <c r="F123" s="4">
        <f>0.6+2*0.2+0.6*2</f>
        <v>2.2</v>
      </c>
      <c r="G123" s="331"/>
      <c r="H123" s="9">
        <f>F123*G123</f>
        <v>0</v>
      </c>
      <c r="I123" s="32" t="s">
        <v>618</v>
      </c>
      <c r="N123" s="78"/>
      <c r="Q123" s="30"/>
      <c r="R123" s="11"/>
    </row>
    <row r="124" spans="1:18" ht="29.25" customHeight="1">
      <c r="A124" s="188">
        <f t="shared" si="4"/>
        <v>11</v>
      </c>
      <c r="B124" s="10" t="s">
        <v>285</v>
      </c>
      <c r="C124" s="16"/>
      <c r="D124" s="14" t="s">
        <v>286</v>
      </c>
      <c r="E124" s="8" t="s">
        <v>4</v>
      </c>
      <c r="F124" s="4">
        <v>1</v>
      </c>
      <c r="G124" s="331"/>
      <c r="H124" s="9">
        <f t="shared" si="5"/>
        <v>0</v>
      </c>
      <c r="I124" s="32" t="s">
        <v>621</v>
      </c>
      <c r="N124" s="78"/>
      <c r="Q124" s="30">
        <f>0.25*0.3*2.1</f>
        <v>0.1575</v>
      </c>
      <c r="R124" s="11"/>
    </row>
    <row r="125" spans="1:18" ht="25.5">
      <c r="A125" s="188">
        <f t="shared" si="4"/>
        <v>12</v>
      </c>
      <c r="B125" s="191" t="s">
        <v>287</v>
      </c>
      <c r="C125" s="16"/>
      <c r="D125" s="14" t="s">
        <v>288</v>
      </c>
      <c r="E125" s="8" t="s">
        <v>2</v>
      </c>
      <c r="F125" s="4">
        <f>3.98+1.2</f>
        <v>5.18</v>
      </c>
      <c r="G125" s="331"/>
      <c r="H125" s="9">
        <f>F125*G125</f>
        <v>0</v>
      </c>
      <c r="I125" s="32" t="s">
        <v>618</v>
      </c>
      <c r="N125" s="78"/>
      <c r="O125" s="26">
        <v>2.1</v>
      </c>
      <c r="P125" s="192">
        <v>0.015</v>
      </c>
      <c r="Q125" s="30">
        <f>+P125*O125*F125</f>
        <v>0.16316999999999998</v>
      </c>
      <c r="R125" s="11"/>
    </row>
    <row r="126" spans="1:18" ht="25.5">
      <c r="A126" s="188">
        <f>A125+1</f>
        <v>13</v>
      </c>
      <c r="B126" s="187" t="s">
        <v>185</v>
      </c>
      <c r="C126" s="16"/>
      <c r="D126" s="14" t="s">
        <v>186</v>
      </c>
      <c r="E126" s="8" t="s">
        <v>2</v>
      </c>
      <c r="F126" s="4">
        <v>12.34</v>
      </c>
      <c r="G126" s="331"/>
      <c r="H126" s="9">
        <f>F126*G126</f>
        <v>0</v>
      </c>
      <c r="I126" s="32" t="s">
        <v>618</v>
      </c>
      <c r="N126" s="78"/>
      <c r="P126" s="192"/>
      <c r="Q126" s="30"/>
      <c r="R126" s="11"/>
    </row>
    <row r="127" spans="1:18" ht="12.75">
      <c r="A127" s="188">
        <f>A126+1</f>
        <v>14</v>
      </c>
      <c r="B127" s="187" t="s">
        <v>289</v>
      </c>
      <c r="C127" s="193"/>
      <c r="D127" s="14" t="s">
        <v>290</v>
      </c>
      <c r="E127" s="8" t="s">
        <v>5</v>
      </c>
      <c r="F127" s="4">
        <f>18.63-1.135</f>
        <v>17.494999999999997</v>
      </c>
      <c r="G127" s="332"/>
      <c r="H127" s="9">
        <f>F127*G127</f>
        <v>0</v>
      </c>
      <c r="I127" s="139" t="s">
        <v>618</v>
      </c>
      <c r="N127" s="78"/>
      <c r="O127" s="78"/>
      <c r="Q127" s="30"/>
      <c r="R127" s="11"/>
    </row>
    <row r="128" spans="1:18" ht="12.75">
      <c r="A128" s="181">
        <f aca="true" t="shared" si="6" ref="A128:A140">A127+1</f>
        <v>15</v>
      </c>
      <c r="B128" s="187" t="s">
        <v>151</v>
      </c>
      <c r="C128" s="16"/>
      <c r="D128" s="14" t="s">
        <v>152</v>
      </c>
      <c r="E128" s="8" t="s">
        <v>2</v>
      </c>
      <c r="F128" s="4">
        <v>14.8</v>
      </c>
      <c r="G128" s="331"/>
      <c r="H128" s="9">
        <f>F128*G128</f>
        <v>0</v>
      </c>
      <c r="I128" s="32" t="s">
        <v>618</v>
      </c>
      <c r="N128" s="78"/>
      <c r="O128" s="78"/>
      <c r="P128" s="78"/>
      <c r="Q128" s="30">
        <f>0.01*F128*0.6</f>
        <v>0.0888</v>
      </c>
      <c r="R128" s="11" t="s">
        <v>678</v>
      </c>
    </row>
    <row r="129" spans="1:18" ht="12.75">
      <c r="A129" s="181">
        <f t="shared" si="6"/>
        <v>16</v>
      </c>
      <c r="B129" s="187" t="s">
        <v>291</v>
      </c>
      <c r="C129" s="16"/>
      <c r="D129" s="14" t="s">
        <v>292</v>
      </c>
      <c r="E129" s="8" t="s">
        <v>657</v>
      </c>
      <c r="F129" s="4">
        <f>1.2*0.025</f>
        <v>0.03</v>
      </c>
      <c r="G129" s="331"/>
      <c r="H129" s="9">
        <f>F129*G129</f>
        <v>0</v>
      </c>
      <c r="I129" s="32" t="s">
        <v>618</v>
      </c>
      <c r="N129" s="78"/>
      <c r="O129" s="78"/>
      <c r="P129" s="78"/>
      <c r="Q129" s="30">
        <f>+F129*0.6</f>
        <v>0.018</v>
      </c>
      <c r="R129" s="11" t="s">
        <v>678</v>
      </c>
    </row>
    <row r="130" spans="1:18" ht="12.75">
      <c r="A130" s="181">
        <f t="shared" si="6"/>
        <v>17</v>
      </c>
      <c r="B130" s="187" t="s">
        <v>293</v>
      </c>
      <c r="C130" s="16"/>
      <c r="D130" s="14" t="s">
        <v>294</v>
      </c>
      <c r="E130" s="8" t="s">
        <v>2</v>
      </c>
      <c r="F130" s="4">
        <f>14.8+18.6</f>
        <v>33.400000000000006</v>
      </c>
      <c r="G130" s="331"/>
      <c r="H130" s="9">
        <f t="shared" si="5"/>
        <v>0</v>
      </c>
      <c r="I130" s="32" t="s">
        <v>618</v>
      </c>
      <c r="N130" s="78"/>
      <c r="O130" s="78"/>
      <c r="P130" s="78"/>
      <c r="Q130" s="30">
        <f>+F130*0.018</f>
        <v>0.6012000000000001</v>
      </c>
      <c r="R130" s="11" t="s">
        <v>678</v>
      </c>
    </row>
    <row r="131" spans="1:18" ht="12.75">
      <c r="A131" s="181">
        <f t="shared" si="6"/>
        <v>18</v>
      </c>
      <c r="B131" s="187" t="s">
        <v>295</v>
      </c>
      <c r="C131" s="16"/>
      <c r="D131" s="14" t="s">
        <v>296</v>
      </c>
      <c r="E131" s="8" t="s">
        <v>2</v>
      </c>
      <c r="F131" s="4">
        <f>+F130</f>
        <v>33.400000000000006</v>
      </c>
      <c r="G131" s="331"/>
      <c r="H131" s="9">
        <f t="shared" si="5"/>
        <v>0</v>
      </c>
      <c r="I131" s="32" t="s">
        <v>618</v>
      </c>
      <c r="N131" s="78"/>
      <c r="O131" s="78"/>
      <c r="P131" s="78"/>
      <c r="Q131" s="192">
        <f>+F131*0.065*1.9</f>
        <v>4.1249</v>
      </c>
      <c r="R131" s="11"/>
    </row>
    <row r="132" spans="1:18" ht="25.5">
      <c r="A132" s="181">
        <f t="shared" si="6"/>
        <v>19</v>
      </c>
      <c r="B132" s="187" t="s">
        <v>230</v>
      </c>
      <c r="C132" s="16"/>
      <c r="D132" s="14" t="s">
        <v>231</v>
      </c>
      <c r="E132" s="8" t="s">
        <v>2</v>
      </c>
      <c r="F132" s="4">
        <f>3.98+1.2</f>
        <v>5.18</v>
      </c>
      <c r="G132" s="331"/>
      <c r="H132" s="9">
        <f t="shared" si="5"/>
        <v>0</v>
      </c>
      <c r="I132" s="32" t="s">
        <v>618</v>
      </c>
      <c r="N132" s="78"/>
      <c r="O132" s="78"/>
      <c r="P132" s="78"/>
      <c r="Q132" s="192"/>
      <c r="R132" s="11"/>
    </row>
    <row r="133" spans="1:18" ht="25.5">
      <c r="A133" s="181">
        <f t="shared" si="6"/>
        <v>20</v>
      </c>
      <c r="B133" s="194" t="s">
        <v>193</v>
      </c>
      <c r="C133" s="19"/>
      <c r="D133" s="14" t="s">
        <v>194</v>
      </c>
      <c r="E133" s="8" t="s">
        <v>657</v>
      </c>
      <c r="F133" s="4">
        <f>(3.98+1.2)*0.04</f>
        <v>0.2072</v>
      </c>
      <c r="G133" s="331"/>
      <c r="H133" s="9">
        <f aca="true" t="shared" si="7" ref="H133:H138">F133*G133</f>
        <v>0</v>
      </c>
      <c r="I133" s="32" t="s">
        <v>618</v>
      </c>
      <c r="N133" s="78"/>
      <c r="O133" s="78"/>
      <c r="P133" s="192"/>
      <c r="Q133" s="192">
        <f>0.035*F133*1.9</f>
        <v>0.0137788</v>
      </c>
      <c r="R133" s="11"/>
    </row>
    <row r="134" spans="1:18" ht="38.25">
      <c r="A134" s="181">
        <f t="shared" si="6"/>
        <v>21</v>
      </c>
      <c r="B134" s="182" t="s">
        <v>148</v>
      </c>
      <c r="C134" s="183"/>
      <c r="D134" s="184" t="s">
        <v>153</v>
      </c>
      <c r="E134" s="185" t="s">
        <v>2</v>
      </c>
      <c r="F134" s="2">
        <f>2*3.4*0.4</f>
        <v>2.72</v>
      </c>
      <c r="G134" s="331"/>
      <c r="H134" s="186">
        <f t="shared" si="7"/>
        <v>0</v>
      </c>
      <c r="I134" s="17" t="s">
        <v>618</v>
      </c>
      <c r="K134" s="26"/>
      <c r="O134" s="78"/>
      <c r="R134" s="30"/>
    </row>
    <row r="135" spans="1:18" ht="12.75">
      <c r="A135" s="181">
        <f t="shared" si="6"/>
        <v>22</v>
      </c>
      <c r="B135" s="182" t="s">
        <v>149</v>
      </c>
      <c r="C135" s="183"/>
      <c r="D135" s="184" t="s">
        <v>244</v>
      </c>
      <c r="E135" s="185" t="s">
        <v>1</v>
      </c>
      <c r="F135" s="2">
        <v>1</v>
      </c>
      <c r="G135" s="331"/>
      <c r="H135" s="186">
        <f t="shared" si="7"/>
        <v>0</v>
      </c>
      <c r="I135" s="17" t="s">
        <v>618</v>
      </c>
      <c r="J135" s="195"/>
      <c r="K135" s="26"/>
      <c r="O135" s="78"/>
      <c r="R135" s="30"/>
    </row>
    <row r="136" spans="1:18" ht="25.5">
      <c r="A136" s="181">
        <f t="shared" si="6"/>
        <v>23</v>
      </c>
      <c r="B136" s="5" t="s">
        <v>513</v>
      </c>
      <c r="C136" s="183"/>
      <c r="D136" s="14" t="s">
        <v>195</v>
      </c>
      <c r="E136" s="185" t="s">
        <v>2</v>
      </c>
      <c r="F136" s="2">
        <f>3.4*2*0.4</f>
        <v>2.72</v>
      </c>
      <c r="G136" s="331"/>
      <c r="H136" s="186">
        <f t="shared" si="7"/>
        <v>0</v>
      </c>
      <c r="I136" s="17" t="s">
        <v>618</v>
      </c>
      <c r="K136" s="26"/>
      <c r="O136" s="78"/>
      <c r="R136" s="30"/>
    </row>
    <row r="137" spans="1:18" ht="12.75">
      <c r="A137" s="181">
        <f t="shared" si="6"/>
        <v>24</v>
      </c>
      <c r="B137" s="5" t="s">
        <v>196</v>
      </c>
      <c r="C137" s="19"/>
      <c r="D137" s="14" t="s">
        <v>214</v>
      </c>
      <c r="E137" s="8" t="s">
        <v>657</v>
      </c>
      <c r="F137" s="2">
        <f>0.035*F136</f>
        <v>0.09520000000000002</v>
      </c>
      <c r="G137" s="331"/>
      <c r="H137" s="9">
        <f t="shared" si="7"/>
        <v>0</v>
      </c>
      <c r="I137" s="17" t="s">
        <v>618</v>
      </c>
      <c r="K137" s="26"/>
      <c r="O137" s="78"/>
      <c r="R137" s="30"/>
    </row>
    <row r="138" spans="1:9" s="11" customFormat="1" ht="13.5" customHeight="1">
      <c r="A138" s="181">
        <f t="shared" si="6"/>
        <v>25</v>
      </c>
      <c r="B138" s="196" t="s">
        <v>456</v>
      </c>
      <c r="C138" s="197"/>
      <c r="D138" s="14" t="s">
        <v>297</v>
      </c>
      <c r="E138" s="8" t="s">
        <v>4</v>
      </c>
      <c r="F138" s="4">
        <v>1</v>
      </c>
      <c r="G138" s="332"/>
      <c r="H138" s="9">
        <f t="shared" si="7"/>
        <v>0</v>
      </c>
      <c r="I138" s="139" t="s">
        <v>618</v>
      </c>
    </row>
    <row r="139" spans="1:17" ht="12.75">
      <c r="A139" s="181">
        <f t="shared" si="6"/>
        <v>26</v>
      </c>
      <c r="B139" s="189" t="s">
        <v>796</v>
      </c>
      <c r="C139" s="183"/>
      <c r="D139" s="184" t="s">
        <v>613</v>
      </c>
      <c r="E139" s="185" t="s">
        <v>2</v>
      </c>
      <c r="F139" s="4">
        <f>1.405*1.92+1.255*1.92+0.91*1.91</f>
        <v>6.8453</v>
      </c>
      <c r="G139" s="331"/>
      <c r="H139" s="186">
        <f aca="true" t="shared" si="8" ref="H139:H148">F139*G139</f>
        <v>0</v>
      </c>
      <c r="I139" s="94" t="s">
        <v>618</v>
      </c>
      <c r="N139" s="78"/>
      <c r="Q139" s="30"/>
    </row>
    <row r="140" spans="1:18" ht="12.75">
      <c r="A140" s="181">
        <f t="shared" si="6"/>
        <v>27</v>
      </c>
      <c r="B140" s="189" t="s">
        <v>57</v>
      </c>
      <c r="C140" s="183"/>
      <c r="D140" s="184" t="s">
        <v>58</v>
      </c>
      <c r="E140" s="185" t="s">
        <v>6</v>
      </c>
      <c r="F140" s="2">
        <f>+Q140</f>
        <v>6.754495899999999</v>
      </c>
      <c r="G140" s="331"/>
      <c r="H140" s="186">
        <f t="shared" si="8"/>
        <v>0</v>
      </c>
      <c r="I140" s="94" t="s">
        <v>618</v>
      </c>
      <c r="N140" s="78"/>
      <c r="Q140" s="198">
        <f>SUM(Q114:Q139)</f>
        <v>6.754495899999999</v>
      </c>
      <c r="R140" s="47">
        <f>SUMIF(R$114:R$138,"d",Q$114:Q$138)</f>
        <v>0.77592</v>
      </c>
    </row>
    <row r="141" spans="1:18" ht="12.75">
      <c r="A141" s="181">
        <f aca="true" t="shared" si="9" ref="A141:A147">A140+1</f>
        <v>28</v>
      </c>
      <c r="B141" s="189" t="s">
        <v>667</v>
      </c>
      <c r="C141" s="183"/>
      <c r="D141" s="184" t="s">
        <v>776</v>
      </c>
      <c r="E141" s="185" t="s">
        <v>6</v>
      </c>
      <c r="F141" s="2">
        <f>+F140</f>
        <v>6.754495899999999</v>
      </c>
      <c r="G141" s="332"/>
      <c r="H141" s="186">
        <f t="shared" si="8"/>
        <v>0</v>
      </c>
      <c r="I141" s="94" t="s">
        <v>618</v>
      </c>
      <c r="N141" s="78"/>
      <c r="Q141" s="198"/>
      <c r="R141" s="47"/>
    </row>
    <row r="142" spans="1:18" s="11" customFormat="1" ht="12.75">
      <c r="A142" s="188">
        <f t="shared" si="9"/>
        <v>29</v>
      </c>
      <c r="B142" s="187" t="s">
        <v>55</v>
      </c>
      <c r="C142" s="16"/>
      <c r="D142" s="14" t="s">
        <v>56</v>
      </c>
      <c r="E142" s="8" t="s">
        <v>6</v>
      </c>
      <c r="F142" s="4">
        <f>+F141</f>
        <v>6.754495899999999</v>
      </c>
      <c r="G142" s="332"/>
      <c r="H142" s="9">
        <f t="shared" si="8"/>
        <v>0</v>
      </c>
      <c r="I142" s="32" t="s">
        <v>618</v>
      </c>
      <c r="J142" s="10"/>
      <c r="Q142" s="198"/>
      <c r="R142" s="47"/>
    </row>
    <row r="143" spans="1:18" ht="12.75">
      <c r="A143" s="181">
        <f>A141+1</f>
        <v>29</v>
      </c>
      <c r="B143" s="189" t="s">
        <v>668</v>
      </c>
      <c r="C143" s="183"/>
      <c r="D143" s="184" t="s">
        <v>669</v>
      </c>
      <c r="E143" s="185" t="s">
        <v>6</v>
      </c>
      <c r="F143" s="2">
        <f>F140</f>
        <v>6.754495899999999</v>
      </c>
      <c r="G143" s="332"/>
      <c r="H143" s="186">
        <f t="shared" si="8"/>
        <v>0</v>
      </c>
      <c r="I143" s="94" t="s">
        <v>618</v>
      </c>
      <c r="N143" s="78"/>
      <c r="Q143" s="198"/>
      <c r="R143" s="47"/>
    </row>
    <row r="144" spans="1:18" ht="12.75">
      <c r="A144" s="181">
        <f t="shared" si="9"/>
        <v>30</v>
      </c>
      <c r="B144" s="189" t="s">
        <v>670</v>
      </c>
      <c r="C144" s="183"/>
      <c r="D144" s="184" t="s">
        <v>671</v>
      </c>
      <c r="E144" s="185" t="s">
        <v>6</v>
      </c>
      <c r="F144" s="2">
        <f>F140</f>
        <v>6.754495899999999</v>
      </c>
      <c r="G144" s="331"/>
      <c r="H144" s="186">
        <f t="shared" si="8"/>
        <v>0</v>
      </c>
      <c r="I144" s="94" t="s">
        <v>618</v>
      </c>
      <c r="N144" s="78"/>
      <c r="Q144" s="198"/>
      <c r="R144" s="47"/>
    </row>
    <row r="145" spans="1:18" ht="12.75">
      <c r="A145" s="181">
        <f t="shared" si="9"/>
        <v>31</v>
      </c>
      <c r="B145" s="189" t="s">
        <v>672</v>
      </c>
      <c r="C145" s="183"/>
      <c r="D145" s="184" t="s">
        <v>673</v>
      </c>
      <c r="E145" s="185" t="s">
        <v>6</v>
      </c>
      <c r="F145" s="2">
        <f>F140</f>
        <v>6.754495899999999</v>
      </c>
      <c r="G145" s="331"/>
      <c r="H145" s="186">
        <f t="shared" si="8"/>
        <v>0</v>
      </c>
      <c r="I145" s="94" t="s">
        <v>618</v>
      </c>
      <c r="N145" s="78"/>
      <c r="Q145" s="198"/>
      <c r="R145" s="47"/>
    </row>
    <row r="146" spans="1:18" ht="12.75">
      <c r="A146" s="181">
        <f t="shared" si="9"/>
        <v>32</v>
      </c>
      <c r="B146" s="189" t="s">
        <v>674</v>
      </c>
      <c r="C146" s="183"/>
      <c r="D146" s="184" t="s">
        <v>675</v>
      </c>
      <c r="E146" s="185" t="s">
        <v>6</v>
      </c>
      <c r="F146" s="2">
        <f>Q140-R140</f>
        <v>5.978575899999999</v>
      </c>
      <c r="G146" s="331"/>
      <c r="H146" s="186">
        <f t="shared" si="8"/>
        <v>0</v>
      </c>
      <c r="I146" s="94" t="s">
        <v>618</v>
      </c>
      <c r="N146" s="78"/>
      <c r="Q146" s="198"/>
      <c r="R146" s="47"/>
    </row>
    <row r="147" spans="1:18" ht="12.75">
      <c r="A147" s="181">
        <f t="shared" si="9"/>
        <v>33</v>
      </c>
      <c r="B147" s="189" t="s">
        <v>677</v>
      </c>
      <c r="C147" s="183"/>
      <c r="D147" s="184" t="s">
        <v>676</v>
      </c>
      <c r="E147" s="185" t="s">
        <v>6</v>
      </c>
      <c r="F147" s="2">
        <f>R140</f>
        <v>0.77592</v>
      </c>
      <c r="G147" s="331"/>
      <c r="H147" s="186">
        <f t="shared" si="8"/>
        <v>0</v>
      </c>
      <c r="I147" s="94" t="s">
        <v>618</v>
      </c>
      <c r="N147" s="78"/>
      <c r="Q147" s="198"/>
      <c r="R147" s="47"/>
    </row>
    <row r="148" spans="1:9" ht="13.5" thickBot="1">
      <c r="A148" s="181">
        <f>A147+1</f>
        <v>34</v>
      </c>
      <c r="B148" s="189" t="s">
        <v>62</v>
      </c>
      <c r="C148" s="183"/>
      <c r="D148" s="184" t="s">
        <v>63</v>
      </c>
      <c r="E148" s="185" t="s">
        <v>6</v>
      </c>
      <c r="F148" s="2">
        <f>+Q140</f>
        <v>6.754495899999999</v>
      </c>
      <c r="G148" s="331"/>
      <c r="H148" s="186">
        <f t="shared" si="8"/>
        <v>0</v>
      </c>
      <c r="I148" s="94" t="s">
        <v>618</v>
      </c>
    </row>
    <row r="149" spans="1:9" ht="13.5" thickBot="1">
      <c r="A149" s="181"/>
      <c r="B149" s="189"/>
      <c r="C149" s="183"/>
      <c r="D149" s="199" t="s">
        <v>3</v>
      </c>
      <c r="E149" s="200"/>
      <c r="F149" s="201"/>
      <c r="G149" s="202"/>
      <c r="H149" s="203">
        <f>SUBTOTAL(9,H114:H148)</f>
        <v>0</v>
      </c>
      <c r="I149" s="94"/>
    </row>
    <row r="150" spans="1:9" ht="12.75">
      <c r="A150" s="181"/>
      <c r="B150" s="189"/>
      <c r="C150" s="183"/>
      <c r="D150" s="204"/>
      <c r="E150" s="168"/>
      <c r="F150" s="68"/>
      <c r="G150" s="110"/>
      <c r="H150" s="205"/>
      <c r="I150" s="94"/>
    </row>
    <row r="151" spans="1:9" ht="16.5">
      <c r="A151" s="181"/>
      <c r="B151" s="189"/>
      <c r="C151" s="176" t="s">
        <v>519</v>
      </c>
      <c r="D151" s="146" t="s">
        <v>614</v>
      </c>
      <c r="E151" s="146"/>
      <c r="F151" s="206"/>
      <c r="G151" s="146"/>
      <c r="H151" s="146"/>
      <c r="I151" s="94"/>
    </row>
    <row r="152" spans="1:9" ht="16.5">
      <c r="A152" s="181"/>
      <c r="B152" s="189"/>
      <c r="C152" s="207" t="s">
        <v>528</v>
      </c>
      <c r="D152" s="146" t="s">
        <v>545</v>
      </c>
      <c r="E152" s="146"/>
      <c r="F152" s="206"/>
      <c r="G152" s="146"/>
      <c r="H152" s="146"/>
      <c r="I152" s="94"/>
    </row>
    <row r="153" spans="1:11" ht="38.25">
      <c r="A153" s="181">
        <f>+A148+1</f>
        <v>35</v>
      </c>
      <c r="B153" s="5" t="s">
        <v>422</v>
      </c>
      <c r="C153" s="183"/>
      <c r="D153" s="14" t="s">
        <v>154</v>
      </c>
      <c r="E153" s="8" t="s">
        <v>2</v>
      </c>
      <c r="F153" s="4">
        <f>SUM(E154:E155)</f>
        <v>7.757000000000001</v>
      </c>
      <c r="G153" s="331"/>
      <c r="H153" s="9">
        <f>F153*G153</f>
        <v>0</v>
      </c>
      <c r="I153" s="94" t="s">
        <v>621</v>
      </c>
      <c r="J153" s="208"/>
      <c r="K153" s="26"/>
    </row>
    <row r="154" spans="1:11" ht="12.75">
      <c r="A154" s="181"/>
      <c r="B154" s="182"/>
      <c r="C154" s="183"/>
      <c r="D154" s="209" t="s">
        <v>298</v>
      </c>
      <c r="E154" s="210">
        <f>0.25*2.8+0.41*0.5</f>
        <v>0.9049999999999999</v>
      </c>
      <c r="F154" s="4"/>
      <c r="G154" s="331"/>
      <c r="H154" s="9"/>
      <c r="I154" s="94"/>
      <c r="J154" s="208"/>
      <c r="K154" s="26"/>
    </row>
    <row r="155" spans="1:11" ht="12.75">
      <c r="A155" s="181"/>
      <c r="B155" s="182"/>
      <c r="C155" s="183"/>
      <c r="D155" s="209" t="s">
        <v>299</v>
      </c>
      <c r="E155" s="210">
        <f>2.39*2.4+1.2*0.93</f>
        <v>6.852</v>
      </c>
      <c r="F155" s="4"/>
      <c r="G155" s="331"/>
      <c r="H155" s="9"/>
      <c r="I155" s="94"/>
      <c r="J155" s="208"/>
      <c r="K155" s="26"/>
    </row>
    <row r="156" spans="1:11" ht="51">
      <c r="A156" s="181">
        <f>A153+1</f>
        <v>36</v>
      </c>
      <c r="B156" s="5" t="s">
        <v>423</v>
      </c>
      <c r="C156" s="183"/>
      <c r="D156" s="14" t="s">
        <v>28</v>
      </c>
      <c r="E156" s="8" t="s">
        <v>2</v>
      </c>
      <c r="F156" s="4">
        <f>2.4*0.87-0.3*1.2+0.4*1+0.1*0.1</f>
        <v>2.138</v>
      </c>
      <c r="G156" s="331"/>
      <c r="H156" s="9">
        <f>F156*G156</f>
        <v>0</v>
      </c>
      <c r="I156" s="94" t="s">
        <v>621</v>
      </c>
      <c r="J156" s="208"/>
      <c r="K156" s="26"/>
    </row>
    <row r="157" spans="1:11" ht="25.5">
      <c r="A157" s="181">
        <f>A156+1</f>
        <v>37</v>
      </c>
      <c r="B157" s="187" t="s">
        <v>301</v>
      </c>
      <c r="C157" s="6"/>
      <c r="D157" s="14" t="s">
        <v>302</v>
      </c>
      <c r="E157" s="8" t="s">
        <v>2</v>
      </c>
      <c r="F157" s="4">
        <f>SUM(E158:E159)</f>
        <v>1.1632500000000001</v>
      </c>
      <c r="G157" s="331"/>
      <c r="H157" s="9">
        <f>F157*G157</f>
        <v>0</v>
      </c>
      <c r="I157" s="32" t="s">
        <v>621</v>
      </c>
      <c r="J157" s="208"/>
      <c r="K157" s="26"/>
    </row>
    <row r="158" spans="1:11" ht="12.75">
      <c r="A158" s="181"/>
      <c r="B158" s="187"/>
      <c r="C158" s="16"/>
      <c r="D158" s="209" t="s">
        <v>303</v>
      </c>
      <c r="E158" s="210">
        <f>0.355*2.15</f>
        <v>0.76325</v>
      </c>
      <c r="F158" s="4"/>
      <c r="G158" s="331"/>
      <c r="H158" s="9"/>
      <c r="J158" s="208"/>
      <c r="K158" s="26"/>
    </row>
    <row r="159" spans="1:11" ht="12.75">
      <c r="A159" s="181"/>
      <c r="B159" s="187"/>
      <c r="C159" s="16"/>
      <c r="D159" s="209" t="s">
        <v>300</v>
      </c>
      <c r="E159" s="210">
        <f>0.4*1</f>
        <v>0.4</v>
      </c>
      <c r="F159" s="4"/>
      <c r="G159" s="331"/>
      <c r="H159" s="9"/>
      <c r="J159" s="208"/>
      <c r="K159" s="26"/>
    </row>
    <row r="160" spans="1:11" ht="25.5">
      <c r="A160" s="181">
        <f>A157+1</f>
        <v>38</v>
      </c>
      <c r="B160" s="187" t="s">
        <v>246</v>
      </c>
      <c r="C160" s="16"/>
      <c r="D160" s="14" t="s">
        <v>245</v>
      </c>
      <c r="E160" s="8" t="s">
        <v>657</v>
      </c>
      <c r="F160" s="4">
        <f>0.195*2.265*0.06</f>
        <v>0.0265005</v>
      </c>
      <c r="G160" s="331"/>
      <c r="H160" s="9">
        <f>F160*G160</f>
        <v>0</v>
      </c>
      <c r="I160" s="32" t="s">
        <v>621</v>
      </c>
      <c r="J160" s="211"/>
      <c r="K160" s="26"/>
    </row>
    <row r="161" spans="1:11" ht="12.75">
      <c r="A161" s="181"/>
      <c r="B161" s="187"/>
      <c r="C161" s="16"/>
      <c r="D161" s="209" t="s">
        <v>304</v>
      </c>
      <c r="E161" s="8"/>
      <c r="F161" s="4"/>
      <c r="G161" s="331"/>
      <c r="H161" s="9"/>
      <c r="J161" s="212"/>
      <c r="K161" s="26"/>
    </row>
    <row r="162" spans="1:11" ht="25.5">
      <c r="A162" s="181">
        <f>A160+1</f>
        <v>39</v>
      </c>
      <c r="B162" s="187" t="s">
        <v>305</v>
      </c>
      <c r="C162" s="16"/>
      <c r="D162" s="14" t="s">
        <v>306</v>
      </c>
      <c r="E162" s="8" t="s">
        <v>2</v>
      </c>
      <c r="F162" s="4">
        <f>0.195*2.265</f>
        <v>0.44167500000000004</v>
      </c>
      <c r="G162" s="331"/>
      <c r="H162" s="9">
        <f aca="true" t="shared" si="10" ref="H162:H169">F162*G162</f>
        <v>0</v>
      </c>
      <c r="I162" s="32" t="s">
        <v>621</v>
      </c>
      <c r="J162" s="212"/>
      <c r="K162" s="26"/>
    </row>
    <row r="163" spans="1:11" ht="38.25">
      <c r="A163" s="181">
        <f>A162+1</f>
        <v>40</v>
      </c>
      <c r="B163" s="196" t="s">
        <v>457</v>
      </c>
      <c r="C163" s="16"/>
      <c r="D163" s="14" t="s">
        <v>458</v>
      </c>
      <c r="E163" s="8" t="s">
        <v>2</v>
      </c>
      <c r="F163" s="4">
        <f>0.9*0.9</f>
        <v>0.81</v>
      </c>
      <c r="G163" s="331"/>
      <c r="H163" s="9">
        <f t="shared" si="10"/>
        <v>0</v>
      </c>
      <c r="I163" s="17" t="s">
        <v>621</v>
      </c>
      <c r="J163" s="212"/>
      <c r="K163" s="213"/>
    </row>
    <row r="164" spans="1:18" ht="25.5">
      <c r="A164" s="188">
        <f>A163+1</f>
        <v>41</v>
      </c>
      <c r="B164" s="13" t="s">
        <v>183</v>
      </c>
      <c r="C164" s="183"/>
      <c r="D164" s="14" t="s">
        <v>247</v>
      </c>
      <c r="E164" s="185" t="s">
        <v>1</v>
      </c>
      <c r="F164" s="2">
        <v>1</v>
      </c>
      <c r="G164" s="331"/>
      <c r="H164" s="9">
        <f t="shared" si="10"/>
        <v>0</v>
      </c>
      <c r="I164" s="17" t="s">
        <v>618</v>
      </c>
      <c r="J164" s="195"/>
      <c r="K164" s="26"/>
      <c r="O164" s="78"/>
      <c r="R164" s="30"/>
    </row>
    <row r="165" spans="1:18" ht="12.75">
      <c r="A165" s="188">
        <f aca="true" t="shared" si="11" ref="A165:A175">A164+1</f>
        <v>42</v>
      </c>
      <c r="B165" s="214" t="s">
        <v>681</v>
      </c>
      <c r="C165" s="183"/>
      <c r="D165" s="14" t="s">
        <v>680</v>
      </c>
      <c r="E165" s="185" t="s">
        <v>5</v>
      </c>
      <c r="F165" s="4">
        <f>0.355+0.91</f>
        <v>1.2650000000000001</v>
      </c>
      <c r="G165" s="331"/>
      <c r="H165" s="9">
        <f t="shared" si="10"/>
        <v>0</v>
      </c>
      <c r="I165" s="17" t="s">
        <v>621</v>
      </c>
      <c r="J165" s="195"/>
      <c r="K165" s="26"/>
      <c r="O165" s="78"/>
      <c r="R165" s="30"/>
    </row>
    <row r="166" spans="1:11" ht="51">
      <c r="A166" s="188">
        <f t="shared" si="11"/>
        <v>43</v>
      </c>
      <c r="B166" s="196" t="s">
        <v>187</v>
      </c>
      <c r="C166" s="183" t="s">
        <v>715</v>
      </c>
      <c r="D166" s="14" t="s">
        <v>248</v>
      </c>
      <c r="E166" s="8" t="s">
        <v>2</v>
      </c>
      <c r="F166" s="4">
        <f>(3.05*(2.49+1.08))-(0.735*1.993)</f>
        <v>9.423645</v>
      </c>
      <c r="G166" s="331"/>
      <c r="H166" s="9">
        <f t="shared" si="10"/>
        <v>0</v>
      </c>
      <c r="I166" s="94" t="s">
        <v>621</v>
      </c>
      <c r="J166" s="195"/>
      <c r="K166" s="26"/>
    </row>
    <row r="167" spans="1:10" s="11" customFormat="1" ht="25.5">
      <c r="A167" s="188">
        <f t="shared" si="11"/>
        <v>44</v>
      </c>
      <c r="B167" s="187" t="s">
        <v>308</v>
      </c>
      <c r="C167" s="19"/>
      <c r="D167" s="14" t="s">
        <v>307</v>
      </c>
      <c r="E167" s="8" t="s">
        <v>2</v>
      </c>
      <c r="F167" s="4">
        <f>+F166</f>
        <v>9.423645</v>
      </c>
      <c r="G167" s="331"/>
      <c r="H167" s="9">
        <f t="shared" si="10"/>
        <v>0</v>
      </c>
      <c r="I167" s="32" t="s">
        <v>621</v>
      </c>
      <c r="J167" s="10"/>
    </row>
    <row r="168" spans="1:10" s="11" customFormat="1" ht="25.5">
      <c r="A168" s="188">
        <f t="shared" si="11"/>
        <v>45</v>
      </c>
      <c r="B168" s="13" t="s">
        <v>188</v>
      </c>
      <c r="C168" s="16"/>
      <c r="D168" s="14" t="s">
        <v>189</v>
      </c>
      <c r="E168" s="8" t="s">
        <v>2</v>
      </c>
      <c r="F168" s="4">
        <f>+F166</f>
        <v>9.423645</v>
      </c>
      <c r="G168" s="331"/>
      <c r="H168" s="9">
        <f>F168*G168</f>
        <v>0</v>
      </c>
      <c r="I168" s="17" t="s">
        <v>621</v>
      </c>
      <c r="J168" s="10"/>
    </row>
    <row r="169" spans="1:10" s="11" customFormat="1" ht="12.75">
      <c r="A169" s="188">
        <f t="shared" si="11"/>
        <v>46</v>
      </c>
      <c r="B169" s="187" t="s">
        <v>309</v>
      </c>
      <c r="C169" s="16"/>
      <c r="D169" s="14" t="s">
        <v>310</v>
      </c>
      <c r="E169" s="8" t="s">
        <v>4</v>
      </c>
      <c r="F169" s="4">
        <v>1</v>
      </c>
      <c r="G169" s="331"/>
      <c r="H169" s="9">
        <f t="shared" si="10"/>
        <v>0</v>
      </c>
      <c r="I169" s="32" t="s">
        <v>621</v>
      </c>
      <c r="J169" s="10"/>
    </row>
    <row r="170" spans="1:11" ht="12.75">
      <c r="A170" s="188">
        <f t="shared" si="11"/>
        <v>47</v>
      </c>
      <c r="B170" s="189" t="s">
        <v>810</v>
      </c>
      <c r="C170" s="190"/>
      <c r="D170" s="184" t="s">
        <v>558</v>
      </c>
      <c r="E170" s="185" t="s">
        <v>2</v>
      </c>
      <c r="F170" s="4">
        <f>+F166</f>
        <v>9.423645</v>
      </c>
      <c r="G170" s="331"/>
      <c r="H170" s="186">
        <f aca="true" t="shared" si="12" ref="H170:H176">F170*G170</f>
        <v>0</v>
      </c>
      <c r="I170" s="94" t="s">
        <v>621</v>
      </c>
      <c r="K170" s="26"/>
    </row>
    <row r="171" spans="1:11" ht="12.75">
      <c r="A171" s="188">
        <f t="shared" si="11"/>
        <v>48</v>
      </c>
      <c r="B171" s="189" t="s">
        <v>679</v>
      </c>
      <c r="C171" s="183"/>
      <c r="D171" s="184" t="s">
        <v>791</v>
      </c>
      <c r="E171" s="185" t="s">
        <v>5</v>
      </c>
      <c r="F171" s="4">
        <f>2.49+2.08</f>
        <v>4.57</v>
      </c>
      <c r="G171" s="332"/>
      <c r="H171" s="186">
        <f t="shared" si="12"/>
        <v>0</v>
      </c>
      <c r="I171" s="94" t="s">
        <v>621</v>
      </c>
      <c r="K171" s="26"/>
    </row>
    <row r="172" spans="1:18" s="11" customFormat="1" ht="25.5">
      <c r="A172" s="188">
        <f t="shared" si="11"/>
        <v>49</v>
      </c>
      <c r="B172" s="187" t="s">
        <v>311</v>
      </c>
      <c r="C172" s="19"/>
      <c r="D172" s="14" t="s">
        <v>312</v>
      </c>
      <c r="E172" s="8" t="s">
        <v>4</v>
      </c>
      <c r="F172" s="4">
        <v>6</v>
      </c>
      <c r="G172" s="331"/>
      <c r="H172" s="9">
        <f t="shared" si="12"/>
        <v>0</v>
      </c>
      <c r="I172" s="17" t="s">
        <v>621</v>
      </c>
      <c r="J172" s="215"/>
      <c r="L172" s="159"/>
      <c r="M172" s="159"/>
      <c r="R172" s="103"/>
    </row>
    <row r="173" spans="1:9" ht="12.75">
      <c r="A173" s="188">
        <f t="shared" si="11"/>
        <v>50</v>
      </c>
      <c r="B173" s="214" t="s">
        <v>790</v>
      </c>
      <c r="C173" s="183" t="s">
        <v>13</v>
      </c>
      <c r="D173" s="184" t="s">
        <v>851</v>
      </c>
      <c r="E173" s="185" t="s">
        <v>4</v>
      </c>
      <c r="F173" s="2">
        <f>+F174+F175</f>
        <v>4</v>
      </c>
      <c r="G173" s="331"/>
      <c r="H173" s="186">
        <f t="shared" si="12"/>
        <v>0</v>
      </c>
      <c r="I173" s="94" t="s">
        <v>621</v>
      </c>
    </row>
    <row r="174" spans="1:15" s="11" customFormat="1" ht="38.25">
      <c r="A174" s="181">
        <f t="shared" si="11"/>
        <v>51</v>
      </c>
      <c r="B174" s="216" t="s">
        <v>97</v>
      </c>
      <c r="C174" s="217" t="s">
        <v>12</v>
      </c>
      <c r="D174" s="218" t="s">
        <v>313</v>
      </c>
      <c r="E174" s="219" t="s">
        <v>4</v>
      </c>
      <c r="F174" s="12">
        <v>2</v>
      </c>
      <c r="G174" s="333"/>
      <c r="H174" s="220">
        <f t="shared" si="12"/>
        <v>0</v>
      </c>
      <c r="I174" s="32" t="s">
        <v>621</v>
      </c>
      <c r="J174" s="10"/>
      <c r="K174" s="221" t="s">
        <v>314</v>
      </c>
      <c r="O174" s="26"/>
    </row>
    <row r="175" spans="1:11" ht="16.5">
      <c r="A175" s="181">
        <f t="shared" si="11"/>
        <v>52</v>
      </c>
      <c r="B175" s="182" t="s">
        <v>98</v>
      </c>
      <c r="C175" s="222" t="s">
        <v>852</v>
      </c>
      <c r="D175" s="223" t="s">
        <v>708</v>
      </c>
      <c r="E175" s="224" t="s">
        <v>4</v>
      </c>
      <c r="F175" s="3">
        <v>2</v>
      </c>
      <c r="G175" s="333"/>
      <c r="H175" s="225">
        <f t="shared" si="12"/>
        <v>0</v>
      </c>
      <c r="I175" s="94" t="s">
        <v>621</v>
      </c>
      <c r="K175" s="221" t="s">
        <v>31</v>
      </c>
    </row>
    <row r="176" spans="1:9" ht="13.5" thickBot="1">
      <c r="A176" s="26">
        <f>A175+1</f>
        <v>53</v>
      </c>
      <c r="B176" s="182" t="s">
        <v>64</v>
      </c>
      <c r="C176" s="183"/>
      <c r="D176" s="226" t="s">
        <v>539</v>
      </c>
      <c r="E176" s="185" t="s">
        <v>10</v>
      </c>
      <c r="F176" s="2">
        <f>+H153+H156+H157+H160+H162+H163+H164+H165+H166+H174+H175</f>
        <v>0</v>
      </c>
      <c r="G176" s="334"/>
      <c r="H176" s="186">
        <f t="shared" si="12"/>
        <v>0</v>
      </c>
      <c r="I176" s="94" t="s">
        <v>621</v>
      </c>
    </row>
    <row r="177" spans="1:9" ht="13.5" thickBot="1">
      <c r="A177" s="181"/>
      <c r="B177" s="189"/>
      <c r="C177" s="183"/>
      <c r="D177" s="162" t="s">
        <v>3</v>
      </c>
      <c r="E177" s="163"/>
      <c r="F177" s="227"/>
      <c r="G177" s="228"/>
      <c r="H177" s="203">
        <f>SUBTOTAL(9,H153:H176)</f>
        <v>0</v>
      </c>
      <c r="I177" s="94"/>
    </row>
    <row r="178" spans="1:9" ht="12.75">
      <c r="A178" s="181"/>
      <c r="B178" s="189"/>
      <c r="C178" s="183"/>
      <c r="D178" s="204"/>
      <c r="E178" s="168"/>
      <c r="F178" s="68"/>
      <c r="G178" s="110"/>
      <c r="H178" s="205"/>
      <c r="I178" s="94"/>
    </row>
    <row r="179" spans="1:9" ht="16.5">
      <c r="A179" s="181"/>
      <c r="B179" s="189"/>
      <c r="C179" s="176" t="s">
        <v>529</v>
      </c>
      <c r="D179" s="229" t="s">
        <v>663</v>
      </c>
      <c r="E179" s="146"/>
      <c r="F179" s="206"/>
      <c r="G179" s="146"/>
      <c r="H179" s="146"/>
      <c r="I179" s="94"/>
    </row>
    <row r="180" spans="1:11" ht="90.75" customHeight="1">
      <c r="A180" s="181"/>
      <c r="B180" s="189"/>
      <c r="C180" s="176"/>
      <c r="D180" s="306" t="s">
        <v>555</v>
      </c>
      <c r="E180" s="306"/>
      <c r="F180" s="306"/>
      <c r="G180" s="230"/>
      <c r="H180" s="230"/>
      <c r="I180" s="94"/>
      <c r="K180" s="231"/>
    </row>
    <row r="181" spans="1:11" ht="51">
      <c r="A181" s="181">
        <f>A176+1</f>
        <v>54</v>
      </c>
      <c r="B181" s="5" t="s">
        <v>237</v>
      </c>
      <c r="C181" s="183" t="s">
        <v>709</v>
      </c>
      <c r="D181" s="14" t="s">
        <v>239</v>
      </c>
      <c r="E181" s="185" t="s">
        <v>2</v>
      </c>
      <c r="F181" s="2">
        <f>0.88+2.22</f>
        <v>3.1</v>
      </c>
      <c r="G181" s="331"/>
      <c r="H181" s="186">
        <f>F181*G181</f>
        <v>0</v>
      </c>
      <c r="I181" s="94" t="s">
        <v>621</v>
      </c>
      <c r="K181" s="26"/>
    </row>
    <row r="182" spans="1:11" ht="12.75">
      <c r="A182" s="181"/>
      <c r="B182" s="5"/>
      <c r="C182" s="6"/>
      <c r="D182" s="209" t="s">
        <v>315</v>
      </c>
      <c r="E182" s="8"/>
      <c r="F182" s="4"/>
      <c r="G182" s="331"/>
      <c r="H182" s="9"/>
      <c r="K182" s="26"/>
    </row>
    <row r="183" spans="1:11" ht="51">
      <c r="A183" s="181">
        <f>A181+1</f>
        <v>55</v>
      </c>
      <c r="B183" s="5" t="s">
        <v>238</v>
      </c>
      <c r="C183" s="190" t="s">
        <v>691</v>
      </c>
      <c r="D183" s="14" t="s">
        <v>240</v>
      </c>
      <c r="E183" s="185" t="s">
        <v>2</v>
      </c>
      <c r="F183" s="2">
        <f>3.63+9.66+18.6</f>
        <v>31.89</v>
      </c>
      <c r="G183" s="331"/>
      <c r="H183" s="186">
        <f aca="true" t="shared" si="13" ref="H183:H196">F183*G183</f>
        <v>0</v>
      </c>
      <c r="I183" s="94" t="s">
        <v>621</v>
      </c>
      <c r="K183" s="26"/>
    </row>
    <row r="184" spans="1:11" ht="12.75">
      <c r="A184" s="181"/>
      <c r="B184" s="189"/>
      <c r="C184" s="190"/>
      <c r="D184" s="209" t="s">
        <v>316</v>
      </c>
      <c r="E184" s="185"/>
      <c r="F184" s="2"/>
      <c r="G184" s="331"/>
      <c r="H184" s="186"/>
      <c r="I184" s="94"/>
      <c r="K184" s="26"/>
    </row>
    <row r="185" spans="1:11" ht="25.5">
      <c r="A185" s="181">
        <f>A183+1</f>
        <v>56</v>
      </c>
      <c r="B185" s="189" t="s">
        <v>688</v>
      </c>
      <c r="C185" s="183" t="s">
        <v>710</v>
      </c>
      <c r="D185" s="14" t="s">
        <v>716</v>
      </c>
      <c r="E185" s="185" t="s">
        <v>2</v>
      </c>
      <c r="F185" s="2">
        <f>+F181+F183</f>
        <v>34.99</v>
      </c>
      <c r="G185" s="331"/>
      <c r="H185" s="186">
        <f t="shared" si="13"/>
        <v>0</v>
      </c>
      <c r="I185" s="94" t="s">
        <v>621</v>
      </c>
      <c r="K185" s="26"/>
    </row>
    <row r="186" spans="1:18" ht="16.5">
      <c r="A186" s="181">
        <f aca="true" t="shared" si="14" ref="A186:A194">A185+1</f>
        <v>57</v>
      </c>
      <c r="B186" s="182" t="s">
        <v>99</v>
      </c>
      <c r="C186" s="222" t="s">
        <v>767</v>
      </c>
      <c r="D186" s="218" t="s">
        <v>197</v>
      </c>
      <c r="E186" s="224" t="s">
        <v>2</v>
      </c>
      <c r="F186" s="3">
        <f>F185*1.1</f>
        <v>38.489000000000004</v>
      </c>
      <c r="G186" s="333"/>
      <c r="H186" s="225">
        <f t="shared" si="13"/>
        <v>0</v>
      </c>
      <c r="I186" s="17" t="s">
        <v>621</v>
      </c>
      <c r="J186" s="232"/>
      <c r="K186" s="221" t="s">
        <v>32</v>
      </c>
      <c r="O186" s="78"/>
      <c r="R186" s="30"/>
    </row>
    <row r="187" spans="1:18" ht="14.25" customHeight="1">
      <c r="A187" s="181">
        <f t="shared" si="14"/>
        <v>58</v>
      </c>
      <c r="B187" s="182" t="s">
        <v>683</v>
      </c>
      <c r="C187" s="183" t="s">
        <v>711</v>
      </c>
      <c r="D187" s="184" t="s">
        <v>768</v>
      </c>
      <c r="E187" s="185" t="s">
        <v>2</v>
      </c>
      <c r="F187" s="2">
        <f>+F181</f>
        <v>3.1</v>
      </c>
      <c r="G187" s="331"/>
      <c r="H187" s="186">
        <f>F187*G187</f>
        <v>0</v>
      </c>
      <c r="I187" s="17" t="s">
        <v>621</v>
      </c>
      <c r="J187" s="233"/>
      <c r="K187" s="26"/>
      <c r="R187" s="30"/>
    </row>
    <row r="188" spans="1:18" ht="25.5">
      <c r="A188" s="181">
        <f t="shared" si="14"/>
        <v>59</v>
      </c>
      <c r="B188" s="182" t="s">
        <v>686</v>
      </c>
      <c r="C188" s="183" t="s">
        <v>712</v>
      </c>
      <c r="D188" s="184" t="s">
        <v>687</v>
      </c>
      <c r="E188" s="185" t="s">
        <v>5</v>
      </c>
      <c r="F188" s="2">
        <f>6.54+4.44</f>
        <v>10.98</v>
      </c>
      <c r="G188" s="331"/>
      <c r="H188" s="186">
        <f>F188*G188</f>
        <v>0</v>
      </c>
      <c r="I188" s="17" t="s">
        <v>621</v>
      </c>
      <c r="J188" s="233"/>
      <c r="K188" s="26"/>
      <c r="R188" s="30"/>
    </row>
    <row r="189" spans="1:18" ht="25.5">
      <c r="A189" s="181">
        <f t="shared" si="14"/>
        <v>60</v>
      </c>
      <c r="B189" s="189" t="s">
        <v>684</v>
      </c>
      <c r="C189" s="183" t="s">
        <v>827</v>
      </c>
      <c r="D189" s="184" t="s">
        <v>685</v>
      </c>
      <c r="E189" s="185" t="s">
        <v>4</v>
      </c>
      <c r="F189" s="2">
        <v>1</v>
      </c>
      <c r="G189" s="331"/>
      <c r="H189" s="186">
        <f>F189*G189</f>
        <v>0</v>
      </c>
      <c r="I189" s="17" t="s">
        <v>621</v>
      </c>
      <c r="J189" s="233"/>
      <c r="K189" s="26"/>
      <c r="R189" s="30"/>
    </row>
    <row r="190" spans="1:18" ht="25.5">
      <c r="A190" s="181">
        <f t="shared" si="14"/>
        <v>61</v>
      </c>
      <c r="B190" s="189">
        <v>67352326</v>
      </c>
      <c r="C190" s="222" t="s">
        <v>617</v>
      </c>
      <c r="D190" s="223" t="s">
        <v>682</v>
      </c>
      <c r="E190" s="224" t="s">
        <v>2</v>
      </c>
      <c r="F190" s="3">
        <f>+F187*1.1</f>
        <v>3.4100000000000006</v>
      </c>
      <c r="G190" s="333"/>
      <c r="H190" s="225">
        <f t="shared" si="13"/>
        <v>0</v>
      </c>
      <c r="I190" s="17" t="s">
        <v>621</v>
      </c>
      <c r="K190" s="26"/>
      <c r="O190" s="78"/>
      <c r="R190" s="30"/>
    </row>
    <row r="191" spans="1:9" ht="12.75">
      <c r="A191" s="181">
        <f t="shared" si="14"/>
        <v>62</v>
      </c>
      <c r="B191" s="189" t="s">
        <v>811</v>
      </c>
      <c r="C191" s="222"/>
      <c r="D191" s="184" t="s">
        <v>848</v>
      </c>
      <c r="E191" s="185" t="s">
        <v>2</v>
      </c>
      <c r="F191" s="2">
        <f>+F181+3.63</f>
        <v>6.73</v>
      </c>
      <c r="G191" s="332"/>
      <c r="H191" s="186">
        <f t="shared" si="13"/>
        <v>0</v>
      </c>
      <c r="I191" s="94" t="s">
        <v>621</v>
      </c>
    </row>
    <row r="192" spans="1:18" s="11" customFormat="1" ht="12.75">
      <c r="A192" s="188">
        <f t="shared" si="14"/>
        <v>63</v>
      </c>
      <c r="B192" s="187" t="s">
        <v>317</v>
      </c>
      <c r="C192" s="16"/>
      <c r="D192" s="14" t="s">
        <v>318</v>
      </c>
      <c r="E192" s="8" t="s">
        <v>2</v>
      </c>
      <c r="F192" s="4">
        <v>9.66</v>
      </c>
      <c r="G192" s="332"/>
      <c r="H192" s="9">
        <f>F192*G192</f>
        <v>0</v>
      </c>
      <c r="I192" s="17" t="s">
        <v>621</v>
      </c>
      <c r="J192" s="10"/>
      <c r="R192" s="103"/>
    </row>
    <row r="193" spans="1:9" ht="12.75">
      <c r="A193" s="181">
        <f>A191+1</f>
        <v>63</v>
      </c>
      <c r="B193" s="214" t="s">
        <v>100</v>
      </c>
      <c r="C193" s="16" t="s">
        <v>658</v>
      </c>
      <c r="D193" s="14" t="s">
        <v>690</v>
      </c>
      <c r="E193" s="8" t="s">
        <v>4</v>
      </c>
      <c r="F193" s="4">
        <f>+F194</f>
        <v>5</v>
      </c>
      <c r="G193" s="331"/>
      <c r="H193" s="9">
        <f>F193*G193</f>
        <v>0</v>
      </c>
      <c r="I193" s="94" t="s">
        <v>621</v>
      </c>
    </row>
    <row r="194" spans="1:11" ht="25.5">
      <c r="A194" s="181">
        <f t="shared" si="14"/>
        <v>64</v>
      </c>
      <c r="B194" s="216" t="s">
        <v>101</v>
      </c>
      <c r="C194" s="217" t="s">
        <v>658</v>
      </c>
      <c r="D194" s="218" t="s">
        <v>689</v>
      </c>
      <c r="E194" s="219" t="s">
        <v>4</v>
      </c>
      <c r="F194" s="12">
        <v>5</v>
      </c>
      <c r="G194" s="333"/>
      <c r="H194" s="220">
        <f>F194*G194</f>
        <v>0</v>
      </c>
      <c r="I194" s="94" t="s">
        <v>621</v>
      </c>
      <c r="K194" s="221" t="s">
        <v>31</v>
      </c>
    </row>
    <row r="195" spans="1:11" ht="12.75">
      <c r="A195" s="181">
        <f>A194+1</f>
        <v>65</v>
      </c>
      <c r="B195" s="189" t="s">
        <v>810</v>
      </c>
      <c r="C195" s="183" t="s">
        <v>710</v>
      </c>
      <c r="D195" s="184" t="s">
        <v>558</v>
      </c>
      <c r="E195" s="185" t="s">
        <v>2</v>
      </c>
      <c r="F195" s="2">
        <f>F183+F181</f>
        <v>34.99</v>
      </c>
      <c r="G195" s="331"/>
      <c r="H195" s="186">
        <f t="shared" si="13"/>
        <v>0</v>
      </c>
      <c r="I195" s="234" t="s">
        <v>621</v>
      </c>
      <c r="K195" s="231"/>
    </row>
    <row r="196" spans="1:9" ht="13.5" thickBot="1">
      <c r="A196" s="181">
        <f>A195+1</f>
        <v>66</v>
      </c>
      <c r="B196" s="182" t="s">
        <v>64</v>
      </c>
      <c r="C196" s="183"/>
      <c r="D196" s="184" t="s">
        <v>536</v>
      </c>
      <c r="E196" s="235" t="s">
        <v>10</v>
      </c>
      <c r="F196" s="2">
        <f>+H181+H183+H186+H190+H194</f>
        <v>0</v>
      </c>
      <c r="G196" s="335"/>
      <c r="H196" s="236">
        <f t="shared" si="13"/>
        <v>0</v>
      </c>
      <c r="I196" s="94" t="s">
        <v>621</v>
      </c>
    </row>
    <row r="197" spans="1:9" ht="13.5" thickBot="1">
      <c r="A197" s="181"/>
      <c r="B197" s="189"/>
      <c r="C197" s="183"/>
      <c r="D197" s="162" t="s">
        <v>3</v>
      </c>
      <c r="E197" s="163"/>
      <c r="F197" s="227"/>
      <c r="G197" s="228"/>
      <c r="H197" s="203">
        <f>SUBTOTAL(9,H181:H196)</f>
        <v>0</v>
      </c>
      <c r="I197" s="94"/>
    </row>
    <row r="198" spans="1:9" ht="12.75">
      <c r="A198" s="181"/>
      <c r="B198" s="189"/>
      <c r="C198" s="183"/>
      <c r="D198" s="204"/>
      <c r="E198" s="168"/>
      <c r="F198" s="68"/>
      <c r="G198" s="110"/>
      <c r="H198" s="205"/>
      <c r="I198" s="94"/>
    </row>
    <row r="199" spans="1:9" ht="16.5">
      <c r="A199" s="181"/>
      <c r="B199" s="189"/>
      <c r="C199" s="207" t="s">
        <v>530</v>
      </c>
      <c r="D199" s="146" t="s">
        <v>626</v>
      </c>
      <c r="E199" s="146"/>
      <c r="F199" s="206"/>
      <c r="G199" s="146"/>
      <c r="H199" s="146"/>
      <c r="I199" s="94"/>
    </row>
    <row r="200" spans="1:11" ht="42" customHeight="1">
      <c r="A200" s="181"/>
      <c r="B200" s="189"/>
      <c r="C200" s="183"/>
      <c r="D200" s="323" t="s">
        <v>546</v>
      </c>
      <c r="E200" s="323"/>
      <c r="F200" s="323"/>
      <c r="G200" s="237"/>
      <c r="H200" s="237"/>
      <c r="I200" s="234"/>
      <c r="K200" s="231"/>
    </row>
    <row r="201" spans="1:9" ht="25.5">
      <c r="A201" s="181">
        <f>A196+1</f>
        <v>67</v>
      </c>
      <c r="B201" s="182" t="s">
        <v>812</v>
      </c>
      <c r="C201" s="183"/>
      <c r="D201" s="184" t="s">
        <v>155</v>
      </c>
      <c r="E201" s="185" t="s">
        <v>2</v>
      </c>
      <c r="F201" s="2">
        <f>SUM(E202:E206)</f>
        <v>113.9456</v>
      </c>
      <c r="G201" s="331"/>
      <c r="H201" s="186">
        <f>F201*G201</f>
        <v>0</v>
      </c>
      <c r="I201" s="94" t="s">
        <v>618</v>
      </c>
    </row>
    <row r="202" spans="1:9" ht="25.5">
      <c r="A202" s="181"/>
      <c r="B202" s="189"/>
      <c r="C202" s="183"/>
      <c r="D202" s="238" t="s">
        <v>319</v>
      </c>
      <c r="E202" s="210">
        <f>1.045*(1.065+1.46+0.265+0.95)+3.085*(1.03+1.78)-0.86*2.05-0.6*2.35+0.47*0.36*2</f>
        <v>9.742550000000001</v>
      </c>
      <c r="F202" s="2"/>
      <c r="G202" s="331"/>
      <c r="H202" s="186"/>
      <c r="I202" s="94"/>
    </row>
    <row r="203" spans="1:9" ht="25.5">
      <c r="A203" s="181"/>
      <c r="B203" s="189"/>
      <c r="C203" s="183"/>
      <c r="D203" s="238" t="s">
        <v>320</v>
      </c>
      <c r="E203" s="210">
        <f>14.82*3.05-0.85*1.97-1.255*1.92-0.85*2.045+2*0.35*1.92-0.6*3.7</f>
        <v>38.50265</v>
      </c>
      <c r="F203" s="2"/>
      <c r="G203" s="331"/>
      <c r="H203" s="186"/>
      <c r="I203" s="94"/>
    </row>
    <row r="204" spans="1:9" ht="12.75">
      <c r="A204" s="181"/>
      <c r="B204" s="189"/>
      <c r="C204" s="183"/>
      <c r="D204" s="238" t="s">
        <v>321</v>
      </c>
      <c r="E204" s="210">
        <f>18.63*3.05-0.85*1.97-1.405*1.92+0.35*2*1.92</f>
        <v>53.79339999999999</v>
      </c>
      <c r="F204" s="2"/>
      <c r="G204" s="331"/>
      <c r="H204" s="186"/>
      <c r="I204" s="94"/>
    </row>
    <row r="205" spans="1:9" ht="12.75">
      <c r="A205" s="181"/>
      <c r="B205" s="189"/>
      <c r="C205" s="183"/>
      <c r="D205" s="238" t="s">
        <v>322</v>
      </c>
      <c r="E205" s="210">
        <f>4.54*2.47-0.4*1-0.6*2.035</f>
        <v>9.5928</v>
      </c>
      <c r="F205" s="2"/>
      <c r="G205" s="331"/>
      <c r="H205" s="186"/>
      <c r="I205" s="94"/>
    </row>
    <row r="206" spans="1:9" ht="25.5">
      <c r="A206" s="181"/>
      <c r="B206" s="189"/>
      <c r="C206" s="183"/>
      <c r="D206" s="238" t="s">
        <v>323</v>
      </c>
      <c r="E206" s="210">
        <f>1.03*0.31+0.82*0.3+1.135*0.44+0.91*0.35+1.255*0.35+1.405*0.35</f>
        <v>2.3142</v>
      </c>
      <c r="F206" s="2"/>
      <c r="G206" s="331"/>
      <c r="H206" s="186"/>
      <c r="I206" s="94"/>
    </row>
    <row r="207" spans="1:11" ht="12.75">
      <c r="A207" s="181">
        <f>A201+1</f>
        <v>68</v>
      </c>
      <c r="B207" s="182" t="s">
        <v>156</v>
      </c>
      <c r="C207" s="190" t="s">
        <v>629</v>
      </c>
      <c r="D207" s="184" t="s">
        <v>157</v>
      </c>
      <c r="E207" s="185" t="s">
        <v>2</v>
      </c>
      <c r="F207" s="2">
        <f>+F201</f>
        <v>113.9456</v>
      </c>
      <c r="G207" s="331"/>
      <c r="H207" s="186">
        <f>F207*G207</f>
        <v>0</v>
      </c>
      <c r="I207" s="234" t="s">
        <v>618</v>
      </c>
      <c r="K207" s="232"/>
    </row>
    <row r="208" spans="1:11" ht="25.5">
      <c r="A208" s="181">
        <f>A207+1</f>
        <v>69</v>
      </c>
      <c r="B208" s="5" t="s">
        <v>200</v>
      </c>
      <c r="C208" s="190"/>
      <c r="D208" s="14" t="s">
        <v>198</v>
      </c>
      <c r="E208" s="185" t="s">
        <v>2</v>
      </c>
      <c r="F208" s="2">
        <f>F209</f>
        <v>9.535400000000001</v>
      </c>
      <c r="G208" s="331"/>
      <c r="H208" s="186">
        <f>F208*G208</f>
        <v>0</v>
      </c>
      <c r="I208" s="234" t="s">
        <v>618</v>
      </c>
      <c r="K208" s="232"/>
    </row>
    <row r="209" spans="1:11" ht="25.5">
      <c r="A209" s="181">
        <f>A208+1</f>
        <v>70</v>
      </c>
      <c r="B209" s="5" t="s">
        <v>692</v>
      </c>
      <c r="C209" s="190" t="s">
        <v>629</v>
      </c>
      <c r="D209" s="14" t="s">
        <v>199</v>
      </c>
      <c r="E209" s="185" t="s">
        <v>2</v>
      </c>
      <c r="F209" s="2">
        <f>(2.04*(1.065+1.46+0.265+0.295)+2*0.35*1.46+0.6*3.7)</f>
        <v>9.535400000000001</v>
      </c>
      <c r="G209" s="331"/>
      <c r="H209" s="186">
        <f>F209*G209</f>
        <v>0</v>
      </c>
      <c r="I209" s="234" t="s">
        <v>618</v>
      </c>
      <c r="K209" s="232"/>
    </row>
    <row r="210" spans="1:11" ht="12.75">
      <c r="A210" s="181">
        <f>A209+1</f>
        <v>71</v>
      </c>
      <c r="B210" s="189" t="s">
        <v>693</v>
      </c>
      <c r="C210" s="190"/>
      <c r="D210" s="184" t="s">
        <v>694</v>
      </c>
      <c r="E210" s="185" t="s">
        <v>2</v>
      </c>
      <c r="F210" s="2">
        <f>F211</f>
        <v>116.0926</v>
      </c>
      <c r="G210" s="331"/>
      <c r="H210" s="186">
        <f>F210*G210</f>
        <v>0</v>
      </c>
      <c r="I210" s="234" t="s">
        <v>618</v>
      </c>
      <c r="K210" s="232"/>
    </row>
    <row r="211" spans="1:11" ht="25.5">
      <c r="A211" s="181">
        <f>A210+1</f>
        <v>72</v>
      </c>
      <c r="B211" s="189" t="s">
        <v>824</v>
      </c>
      <c r="C211" s="183" t="s">
        <v>630</v>
      </c>
      <c r="D211" s="14" t="s">
        <v>208</v>
      </c>
      <c r="E211" s="8" t="s">
        <v>2</v>
      </c>
      <c r="F211" s="2">
        <f>SUM(E212:E216)</f>
        <v>116.0926</v>
      </c>
      <c r="G211" s="331"/>
      <c r="H211" s="9">
        <f>F211*G211</f>
        <v>0</v>
      </c>
      <c r="I211" s="234" t="s">
        <v>618</v>
      </c>
      <c r="K211" s="231"/>
    </row>
    <row r="212" spans="1:11" ht="25.5">
      <c r="A212" s="181"/>
      <c r="B212" s="189"/>
      <c r="C212" s="183"/>
      <c r="D212" s="239" t="s">
        <v>209</v>
      </c>
      <c r="E212" s="210">
        <f>8.54*2.9-0.86*2.05-0.7*1.97-0.8*1.97-0.91*1.92+2*1.92*0.35</f>
        <v>19.6448</v>
      </c>
      <c r="F212" s="2"/>
      <c r="G212" s="331"/>
      <c r="H212" s="9"/>
      <c r="I212" s="234"/>
      <c r="K212" s="231"/>
    </row>
    <row r="213" spans="1:11" ht="25.5">
      <c r="A213" s="181"/>
      <c r="B213" s="189"/>
      <c r="C213" s="183"/>
      <c r="D213" s="239" t="s">
        <v>210</v>
      </c>
      <c r="E213" s="210">
        <f>14.82*2.85-0.8*1.97-1.255*1.92-0.8*1.97-(2.49+1.08)*2.85+2*1.92*0.35</f>
        <v>27.844900000000003</v>
      </c>
      <c r="F213" s="2"/>
      <c r="G213" s="331"/>
      <c r="H213" s="9"/>
      <c r="I213" s="234"/>
      <c r="K213" s="231"/>
    </row>
    <row r="214" spans="1:11" ht="12.75">
      <c r="A214" s="181"/>
      <c r="B214" s="189"/>
      <c r="C214" s="183"/>
      <c r="D214" s="239" t="s">
        <v>211</v>
      </c>
      <c r="E214" s="210">
        <f>18.63*2.85-1.405*1.92-0.8*1.97+2*1.92*0.35</f>
        <v>50.1659</v>
      </c>
      <c r="F214" s="2"/>
      <c r="G214" s="331"/>
      <c r="H214" s="9"/>
      <c r="I214" s="234"/>
      <c r="K214" s="231"/>
    </row>
    <row r="215" spans="1:11" ht="12.75">
      <c r="A215" s="181"/>
      <c r="B215" s="189"/>
      <c r="C215" s="183"/>
      <c r="D215" s="239" t="s">
        <v>212</v>
      </c>
      <c r="E215" s="210">
        <f>4.62*2.45-0.7*1.97+0.1*(1.2+0.3+1.2)</f>
        <v>10.21</v>
      </c>
      <c r="F215" s="2"/>
      <c r="G215" s="331"/>
      <c r="H215" s="9"/>
      <c r="I215" s="234"/>
      <c r="K215" s="231"/>
    </row>
    <row r="216" spans="1:11" ht="12.75">
      <c r="A216" s="181"/>
      <c r="B216" s="189"/>
      <c r="C216" s="183"/>
      <c r="D216" s="239" t="s">
        <v>324</v>
      </c>
      <c r="E216" s="210">
        <f>0.93*2.45+0.93*0.1+2.39*2.45</f>
        <v>8.227</v>
      </c>
      <c r="F216" s="2"/>
      <c r="G216" s="331"/>
      <c r="H216" s="9"/>
      <c r="I216" s="234"/>
      <c r="K216" s="231"/>
    </row>
    <row r="217" spans="1:11" ht="25.5">
      <c r="A217" s="181">
        <f>A211+1</f>
        <v>73</v>
      </c>
      <c r="B217" s="5" t="s">
        <v>201</v>
      </c>
      <c r="C217" s="19"/>
      <c r="D217" s="14" t="s">
        <v>202</v>
      </c>
      <c r="E217" s="8" t="s">
        <v>2</v>
      </c>
      <c r="F217" s="4">
        <f>SUM(E218:E222)</f>
        <v>2.2152</v>
      </c>
      <c r="G217" s="331"/>
      <c r="H217" s="9">
        <f>F217*G217</f>
        <v>0</v>
      </c>
      <c r="I217" s="240" t="s">
        <v>618</v>
      </c>
      <c r="K217" s="231"/>
    </row>
    <row r="218" spans="1:11" ht="12.75">
      <c r="A218" s="181"/>
      <c r="B218" s="5"/>
      <c r="C218" s="19"/>
      <c r="D218" s="239" t="s">
        <v>330</v>
      </c>
      <c r="E218" s="210">
        <f>1.03*0.31+0.91*0.35</f>
        <v>0.6378</v>
      </c>
      <c r="F218" s="4"/>
      <c r="G218" s="331"/>
      <c r="H218" s="9"/>
      <c r="I218" s="240"/>
      <c r="K218" s="231"/>
    </row>
    <row r="219" spans="1:11" ht="12.75">
      <c r="A219" s="181"/>
      <c r="B219" s="5"/>
      <c r="C219" s="19"/>
      <c r="D219" s="239" t="s">
        <v>331</v>
      </c>
      <c r="E219" s="210">
        <f>1.255*0.35</f>
        <v>0.4392499999999999</v>
      </c>
      <c r="F219" s="4"/>
      <c r="G219" s="331"/>
      <c r="H219" s="9"/>
      <c r="I219" s="240"/>
      <c r="K219" s="231"/>
    </row>
    <row r="220" spans="1:11" ht="12.75">
      <c r="A220" s="181"/>
      <c r="B220" s="5"/>
      <c r="C220" s="19"/>
      <c r="D220" s="239" t="s">
        <v>332</v>
      </c>
      <c r="E220" s="210">
        <f>+0.44*0.91+1.405*0.35</f>
        <v>0.89215</v>
      </c>
      <c r="F220" s="4"/>
      <c r="G220" s="331"/>
      <c r="H220" s="9"/>
      <c r="I220" s="240"/>
      <c r="K220" s="231"/>
    </row>
    <row r="221" spans="1:11" ht="12.75">
      <c r="A221" s="181"/>
      <c r="B221" s="5"/>
      <c r="C221" s="19"/>
      <c r="D221" s="239" t="s">
        <v>333</v>
      </c>
      <c r="E221" s="210">
        <f>0.3*0.82</f>
        <v>0.24599999999999997</v>
      </c>
      <c r="F221" s="4"/>
      <c r="G221" s="331"/>
      <c r="H221" s="9"/>
      <c r="I221" s="240"/>
      <c r="K221" s="231"/>
    </row>
    <row r="222" spans="1:11" ht="12.75">
      <c r="A222" s="181"/>
      <c r="B222" s="5"/>
      <c r="C222" s="19"/>
      <c r="D222" s="239" t="s">
        <v>334</v>
      </c>
      <c r="E222" s="210">
        <v>0</v>
      </c>
      <c r="F222" s="4"/>
      <c r="G222" s="331"/>
      <c r="H222" s="9"/>
      <c r="I222" s="240"/>
      <c r="K222" s="231"/>
    </row>
    <row r="223" spans="1:11" ht="38.25">
      <c r="A223" s="181">
        <f>A217+1</f>
        <v>74</v>
      </c>
      <c r="B223" s="189" t="s">
        <v>818</v>
      </c>
      <c r="C223" s="183" t="s">
        <v>630</v>
      </c>
      <c r="D223" s="184" t="s">
        <v>699</v>
      </c>
      <c r="E223" s="185" t="s">
        <v>2</v>
      </c>
      <c r="F223" s="2">
        <f>SUM(E224:E228)</f>
        <v>91.4636</v>
      </c>
      <c r="G223" s="331"/>
      <c r="H223" s="186">
        <f>F223*G223</f>
        <v>0</v>
      </c>
      <c r="I223" s="94" t="s">
        <v>618</v>
      </c>
      <c r="K223" s="231"/>
    </row>
    <row r="224" spans="1:11" ht="12.75">
      <c r="A224" s="181"/>
      <c r="B224" s="189"/>
      <c r="C224" s="183"/>
      <c r="D224" s="238" t="s">
        <v>325</v>
      </c>
      <c r="E224" s="210">
        <f>8.54*2.9-0.86*2.05-0.7*1.97-0.8*1.97-0.91*1.92</f>
        <v>18.3008</v>
      </c>
      <c r="F224" s="2"/>
      <c r="G224" s="331"/>
      <c r="H224" s="186"/>
      <c r="I224" s="234"/>
      <c r="K224" s="231"/>
    </row>
    <row r="225" spans="1:11" ht="25.5">
      <c r="A225" s="181"/>
      <c r="B225" s="189"/>
      <c r="C225" s="183"/>
      <c r="D225" s="238" t="s">
        <v>326</v>
      </c>
      <c r="E225" s="210">
        <f>14.82*2.85-0.8*1.97-1.255*1.92-0.8*1.97-(2.49+1.08)*2.85-0.6*(1.9+0.62+1.08)</f>
        <v>24.3409</v>
      </c>
      <c r="F225" s="2"/>
      <c r="G225" s="331"/>
      <c r="H225" s="186"/>
      <c r="I225" s="234"/>
      <c r="K225" s="231"/>
    </row>
    <row r="226" spans="1:11" ht="12.75">
      <c r="A226" s="181"/>
      <c r="B226" s="189"/>
      <c r="C226" s="183"/>
      <c r="D226" s="238" t="s">
        <v>327</v>
      </c>
      <c r="E226" s="210">
        <f>18.63*2.85-1.405*1.92-0.8*1.97</f>
        <v>48.8219</v>
      </c>
      <c r="F226" s="2"/>
      <c r="G226" s="331"/>
      <c r="H226" s="186"/>
      <c r="I226" s="234"/>
      <c r="K226" s="231"/>
    </row>
    <row r="227" spans="1:11" ht="12.75">
      <c r="A227" s="181"/>
      <c r="B227" s="189"/>
      <c r="C227" s="183"/>
      <c r="D227" s="238" t="s">
        <v>328</v>
      </c>
      <c r="E227" s="210">
        <v>0</v>
      </c>
      <c r="F227" s="2"/>
      <c r="G227" s="331"/>
      <c r="H227" s="186"/>
      <c r="I227" s="234"/>
      <c r="K227" s="231"/>
    </row>
    <row r="228" spans="1:11" ht="12.75">
      <c r="A228" s="181"/>
      <c r="B228" s="189"/>
      <c r="C228" s="183"/>
      <c r="D228" s="238" t="s">
        <v>329</v>
      </c>
      <c r="E228" s="210">
        <v>0</v>
      </c>
      <c r="F228" s="2"/>
      <c r="G228" s="331"/>
      <c r="H228" s="186"/>
      <c r="I228" s="234"/>
      <c r="K228" s="231"/>
    </row>
    <row r="229" spans="1:11" ht="38.25">
      <c r="A229" s="181">
        <f>A223+1</f>
        <v>75</v>
      </c>
      <c r="B229" s="189" t="s">
        <v>818</v>
      </c>
      <c r="C229" s="183" t="s">
        <v>630</v>
      </c>
      <c r="D229" s="184" t="s">
        <v>29</v>
      </c>
      <c r="E229" s="185" t="s">
        <v>2</v>
      </c>
      <c r="F229" s="2">
        <f>SUM(E230:E234)</f>
        <v>2.2152</v>
      </c>
      <c r="G229" s="331"/>
      <c r="H229" s="186">
        <f>F229*G229</f>
        <v>0</v>
      </c>
      <c r="I229" s="94" t="s">
        <v>618</v>
      </c>
      <c r="K229" s="231"/>
    </row>
    <row r="230" spans="1:11" ht="12.75">
      <c r="A230" s="181"/>
      <c r="B230" s="189"/>
      <c r="C230" s="183"/>
      <c r="D230" s="210" t="s">
        <v>330</v>
      </c>
      <c r="E230" s="210">
        <f>1.03*0.31+0.91*0.35</f>
        <v>0.6378</v>
      </c>
      <c r="F230" s="2"/>
      <c r="G230" s="331"/>
      <c r="H230" s="186"/>
      <c r="I230" s="234"/>
      <c r="K230" s="231"/>
    </row>
    <row r="231" spans="1:11" ht="12.75">
      <c r="A231" s="181"/>
      <c r="B231" s="189"/>
      <c r="C231" s="183"/>
      <c r="D231" s="210" t="s">
        <v>331</v>
      </c>
      <c r="E231" s="210">
        <f>1.255*0.35</f>
        <v>0.4392499999999999</v>
      </c>
      <c r="F231" s="2"/>
      <c r="G231" s="331"/>
      <c r="H231" s="186"/>
      <c r="I231" s="234"/>
      <c r="K231" s="231"/>
    </row>
    <row r="232" spans="1:11" ht="12.75">
      <c r="A232" s="181"/>
      <c r="B232" s="189"/>
      <c r="C232" s="183"/>
      <c r="D232" s="210" t="s">
        <v>332</v>
      </c>
      <c r="E232" s="210">
        <f>0.44*0.91+1.405*0.35</f>
        <v>0.89215</v>
      </c>
      <c r="F232" s="2"/>
      <c r="G232" s="331"/>
      <c r="H232" s="186"/>
      <c r="I232" s="234"/>
      <c r="K232" s="231"/>
    </row>
    <row r="233" spans="1:11" ht="12.75">
      <c r="A233" s="181"/>
      <c r="B233" s="189"/>
      <c r="C233" s="183"/>
      <c r="D233" s="210" t="s">
        <v>333</v>
      </c>
      <c r="E233" s="210">
        <f>0.3*0.82</f>
        <v>0.24599999999999997</v>
      </c>
      <c r="F233" s="2"/>
      <c r="G233" s="331"/>
      <c r="H233" s="186"/>
      <c r="I233" s="234"/>
      <c r="K233" s="231"/>
    </row>
    <row r="234" spans="1:11" ht="12.75">
      <c r="A234" s="181"/>
      <c r="B234" s="189"/>
      <c r="C234" s="183"/>
      <c r="D234" s="210" t="s">
        <v>334</v>
      </c>
      <c r="E234" s="210">
        <v>0</v>
      </c>
      <c r="F234" s="2"/>
      <c r="G234" s="331"/>
      <c r="H234" s="186"/>
      <c r="I234" s="234"/>
      <c r="K234" s="231"/>
    </row>
    <row r="235" spans="1:11" ht="12.75">
      <c r="A235" s="181">
        <f>A229+1</f>
        <v>76</v>
      </c>
      <c r="B235" s="189" t="s">
        <v>701</v>
      </c>
      <c r="C235" s="183" t="s">
        <v>827</v>
      </c>
      <c r="D235" s="184" t="s">
        <v>700</v>
      </c>
      <c r="E235" s="185" t="s">
        <v>5</v>
      </c>
      <c r="F235" s="2">
        <f>SUM(E236:E240)</f>
        <v>25.28</v>
      </c>
      <c r="G235" s="331"/>
      <c r="H235" s="186">
        <f>F235*G235</f>
        <v>0</v>
      </c>
      <c r="I235" s="94" t="s">
        <v>618</v>
      </c>
      <c r="K235" s="231"/>
    </row>
    <row r="236" spans="1:11" ht="12.75">
      <c r="A236" s="181"/>
      <c r="B236" s="189"/>
      <c r="C236" s="183"/>
      <c r="D236" s="209" t="s">
        <v>335</v>
      </c>
      <c r="E236" s="210">
        <f>2.9+2*1.92+0.91+1.03</f>
        <v>8.68</v>
      </c>
      <c r="F236" s="2"/>
      <c r="G236" s="331"/>
      <c r="H236" s="186"/>
      <c r="I236" s="234"/>
      <c r="K236" s="231"/>
    </row>
    <row r="237" spans="1:11" ht="12.75">
      <c r="A237" s="181"/>
      <c r="B237" s="189"/>
      <c r="C237" s="183"/>
      <c r="D237" s="209" t="s">
        <v>336</v>
      </c>
      <c r="E237" s="210">
        <f>1.255+2*1.92</f>
        <v>5.095</v>
      </c>
      <c r="F237" s="2"/>
      <c r="G237" s="331"/>
      <c r="H237" s="186"/>
      <c r="I237" s="234"/>
      <c r="K237" s="231"/>
    </row>
    <row r="238" spans="1:11" ht="12.75">
      <c r="A238" s="181"/>
      <c r="B238" s="189"/>
      <c r="C238" s="183"/>
      <c r="D238" s="209" t="s">
        <v>337</v>
      </c>
      <c r="E238" s="210">
        <f>2*2.265+0.91+2*1.92+1.405</f>
        <v>10.685</v>
      </c>
      <c r="F238" s="2"/>
      <c r="G238" s="331"/>
      <c r="H238" s="186"/>
      <c r="I238" s="234"/>
      <c r="K238" s="231"/>
    </row>
    <row r="239" spans="1:11" ht="12.75">
      <c r="A239" s="181"/>
      <c r="B239" s="189"/>
      <c r="C239" s="183"/>
      <c r="D239" s="209" t="s">
        <v>338</v>
      </c>
      <c r="E239" s="210">
        <v>0.82</v>
      </c>
      <c r="F239" s="2"/>
      <c r="G239" s="331"/>
      <c r="H239" s="186"/>
      <c r="I239" s="234"/>
      <c r="K239" s="231"/>
    </row>
    <row r="240" spans="1:11" ht="12.75">
      <c r="A240" s="181"/>
      <c r="B240" s="189"/>
      <c r="C240" s="183"/>
      <c r="D240" s="209" t="s">
        <v>334</v>
      </c>
      <c r="E240" s="210">
        <v>0</v>
      </c>
      <c r="F240" s="2"/>
      <c r="G240" s="331"/>
      <c r="H240" s="186"/>
      <c r="I240" s="234"/>
      <c r="K240" s="231"/>
    </row>
    <row r="241" spans="1:11" ht="25.5">
      <c r="A241" s="181">
        <f>A235+1</f>
        <v>77</v>
      </c>
      <c r="B241" s="189" t="s">
        <v>698</v>
      </c>
      <c r="C241" s="183" t="s">
        <v>827</v>
      </c>
      <c r="D241" s="184" t="s">
        <v>697</v>
      </c>
      <c r="E241" s="185" t="s">
        <v>2</v>
      </c>
      <c r="F241" s="2">
        <f>SUM(E242:E246)</f>
        <v>4.032</v>
      </c>
      <c r="G241" s="331"/>
      <c r="H241" s="186">
        <f>F241*G241</f>
        <v>0</v>
      </c>
      <c r="I241" s="94" t="s">
        <v>618</v>
      </c>
      <c r="K241" s="231"/>
    </row>
    <row r="242" spans="1:11" ht="12.75">
      <c r="A242" s="181"/>
      <c r="B242" s="189"/>
      <c r="C242" s="183"/>
      <c r="D242" s="209" t="s">
        <v>339</v>
      </c>
      <c r="E242" s="210">
        <f>2*1.92*0.35</f>
        <v>1.3439999999999999</v>
      </c>
      <c r="F242" s="2"/>
      <c r="G242" s="331"/>
      <c r="H242" s="186"/>
      <c r="I242" s="234"/>
      <c r="K242" s="231"/>
    </row>
    <row r="243" spans="1:11" ht="12.75">
      <c r="A243" s="181"/>
      <c r="B243" s="189"/>
      <c r="C243" s="183"/>
      <c r="D243" s="209" t="s">
        <v>340</v>
      </c>
      <c r="E243" s="210">
        <f>2*1.92*0.35</f>
        <v>1.3439999999999999</v>
      </c>
      <c r="F243" s="2"/>
      <c r="G243" s="331"/>
      <c r="H243" s="186"/>
      <c r="I243" s="234"/>
      <c r="K243" s="231"/>
    </row>
    <row r="244" spans="1:11" ht="12.75">
      <c r="A244" s="181"/>
      <c r="B244" s="189"/>
      <c r="C244" s="183"/>
      <c r="D244" s="209" t="s">
        <v>341</v>
      </c>
      <c r="E244" s="210">
        <f>2*1.92*0.35</f>
        <v>1.3439999999999999</v>
      </c>
      <c r="F244" s="2"/>
      <c r="G244" s="331"/>
      <c r="H244" s="186"/>
      <c r="I244" s="234"/>
      <c r="K244" s="231"/>
    </row>
    <row r="245" spans="1:11" ht="12.75">
      <c r="A245" s="181"/>
      <c r="B245" s="189"/>
      <c r="C245" s="183"/>
      <c r="D245" s="209" t="s">
        <v>342</v>
      </c>
      <c r="E245" s="210">
        <v>0</v>
      </c>
      <c r="F245" s="2"/>
      <c r="G245" s="331"/>
      <c r="H245" s="186"/>
      <c r="I245" s="234"/>
      <c r="K245" s="231"/>
    </row>
    <row r="246" spans="1:11" ht="12.75">
      <c r="A246" s="181"/>
      <c r="B246" s="189"/>
      <c r="C246" s="183"/>
      <c r="D246" s="209" t="s">
        <v>334</v>
      </c>
      <c r="E246" s="210">
        <v>0</v>
      </c>
      <c r="F246" s="2"/>
      <c r="G246" s="331"/>
      <c r="H246" s="186"/>
      <c r="I246" s="234"/>
      <c r="K246" s="231"/>
    </row>
    <row r="247" spans="1:11" ht="25.5">
      <c r="A247" s="181">
        <f>A241+1</f>
        <v>78</v>
      </c>
      <c r="B247" s="182" t="s">
        <v>696</v>
      </c>
      <c r="C247" s="183" t="s">
        <v>827</v>
      </c>
      <c r="D247" s="184" t="s">
        <v>695</v>
      </c>
      <c r="E247" s="185" t="s">
        <v>5</v>
      </c>
      <c r="F247" s="2">
        <f>SUM(E248:E252)</f>
        <v>44.95</v>
      </c>
      <c r="G247" s="331"/>
      <c r="H247" s="186">
        <f>F247*G247</f>
        <v>0</v>
      </c>
      <c r="I247" s="94" t="s">
        <v>618</v>
      </c>
      <c r="K247" s="231"/>
    </row>
    <row r="248" spans="1:11" ht="12.75">
      <c r="A248" s="181"/>
      <c r="B248" s="189"/>
      <c r="C248" s="183"/>
      <c r="D248" s="209" t="s">
        <v>343</v>
      </c>
      <c r="E248" s="210">
        <f>0.91+1.92*2+(0.9+2.02*2)+(0.8+2.02*2)+(0.96+2*2.15)</f>
        <v>19.79</v>
      </c>
      <c r="F248" s="2"/>
      <c r="G248" s="331"/>
      <c r="H248" s="186"/>
      <c r="I248" s="234"/>
      <c r="K248" s="231"/>
    </row>
    <row r="249" spans="1:11" ht="12.75">
      <c r="A249" s="181"/>
      <c r="B249" s="189"/>
      <c r="C249" s="183"/>
      <c r="D249" s="209" t="s">
        <v>344</v>
      </c>
      <c r="E249" s="210">
        <f>1.255+1.92*2+2*(0.9+2.02*2)</f>
        <v>14.975000000000001</v>
      </c>
      <c r="F249" s="2"/>
      <c r="G249" s="331"/>
      <c r="H249" s="186"/>
      <c r="I249" s="234"/>
      <c r="K249" s="231"/>
    </row>
    <row r="250" spans="1:11" ht="12.75">
      <c r="A250" s="181"/>
      <c r="B250" s="189"/>
      <c r="C250" s="183"/>
      <c r="D250" s="209" t="s">
        <v>345</v>
      </c>
      <c r="E250" s="210">
        <f>1.405+1.92*2+(0.9+2.02*2)</f>
        <v>10.185</v>
      </c>
      <c r="F250" s="2"/>
      <c r="G250" s="331"/>
      <c r="H250" s="186"/>
      <c r="I250" s="234"/>
      <c r="K250" s="231"/>
    </row>
    <row r="251" spans="1:11" ht="12.75">
      <c r="A251" s="181"/>
      <c r="B251" s="189"/>
      <c r="C251" s="183"/>
      <c r="D251" s="209" t="s">
        <v>342</v>
      </c>
      <c r="E251" s="210">
        <v>0</v>
      </c>
      <c r="F251" s="2"/>
      <c r="G251" s="331"/>
      <c r="H251" s="186"/>
      <c r="I251" s="234"/>
      <c r="K251" s="231"/>
    </row>
    <row r="252" spans="1:11" ht="12.75">
      <c r="A252" s="181"/>
      <c r="B252" s="189"/>
      <c r="C252" s="183"/>
      <c r="D252" s="209" t="s">
        <v>334</v>
      </c>
      <c r="E252" s="210">
        <v>0</v>
      </c>
      <c r="F252" s="2"/>
      <c r="G252" s="331"/>
      <c r="H252" s="186"/>
      <c r="I252" s="234"/>
      <c r="K252" s="231"/>
    </row>
    <row r="253" spans="1:9" ht="25.5">
      <c r="A253" s="181">
        <f>A247+1</f>
        <v>79</v>
      </c>
      <c r="B253" s="189" t="s">
        <v>817</v>
      </c>
      <c r="C253" s="19" t="s">
        <v>653</v>
      </c>
      <c r="D253" s="184" t="s">
        <v>816</v>
      </c>
      <c r="E253" s="185" t="s">
        <v>2</v>
      </c>
      <c r="F253" s="4">
        <f>+F254+F255</f>
        <v>26.399645</v>
      </c>
      <c r="G253" s="331"/>
      <c r="H253" s="186">
        <f>F253*G253</f>
        <v>0</v>
      </c>
      <c r="I253" s="94" t="s">
        <v>618</v>
      </c>
    </row>
    <row r="254" spans="1:10" ht="25.5">
      <c r="A254" s="181">
        <f>A253+1</f>
        <v>80</v>
      </c>
      <c r="B254" s="182" t="s">
        <v>250</v>
      </c>
      <c r="C254" s="183" t="s">
        <v>631</v>
      </c>
      <c r="D254" s="184" t="s">
        <v>249</v>
      </c>
      <c r="E254" s="185" t="s">
        <v>2</v>
      </c>
      <c r="F254" s="2">
        <f>(1.9+0.62+1.08)*0.6+0.1</f>
        <v>2.2600000000000002</v>
      </c>
      <c r="G254" s="331"/>
      <c r="H254" s="186">
        <f>F254*G254</f>
        <v>0</v>
      </c>
      <c r="I254" s="94" t="s">
        <v>618</v>
      </c>
      <c r="J254" s="195"/>
    </row>
    <row r="255" spans="1:10" ht="25.5">
      <c r="A255" s="181">
        <f>A254+1</f>
        <v>81</v>
      </c>
      <c r="B255" s="182" t="s">
        <v>819</v>
      </c>
      <c r="C255" s="183" t="s">
        <v>631</v>
      </c>
      <c r="D255" s="14" t="s">
        <v>260</v>
      </c>
      <c r="E255" s="8" t="s">
        <v>2</v>
      </c>
      <c r="F255" s="4">
        <f>+E256+E257</f>
        <v>24.139644999999998</v>
      </c>
      <c r="G255" s="331"/>
      <c r="H255" s="186">
        <f>F255*G255</f>
        <v>0</v>
      </c>
      <c r="I255" s="94" t="s">
        <v>618</v>
      </c>
      <c r="J255" s="195"/>
    </row>
    <row r="256" spans="1:10" ht="12.75">
      <c r="A256" s="181"/>
      <c r="B256" s="189"/>
      <c r="C256" s="183"/>
      <c r="D256" s="209" t="s">
        <v>346</v>
      </c>
      <c r="E256" s="210">
        <f>6.59*2.4-0.735*1.993+0.05*0.93</f>
        <v>14.397644999999999</v>
      </c>
      <c r="F256" s="2"/>
      <c r="G256" s="331"/>
      <c r="H256" s="186"/>
      <c r="I256" s="94"/>
      <c r="J256" s="195"/>
    </row>
    <row r="257" spans="1:10" ht="12.75">
      <c r="A257" s="181"/>
      <c r="B257" s="189"/>
      <c r="C257" s="183"/>
      <c r="D257" s="209" t="s">
        <v>347</v>
      </c>
      <c r="E257" s="210">
        <f>4.62*2.4-0.8*2.02+0.1*(1.2+0.3+1.2)</f>
        <v>9.741999999999999</v>
      </c>
      <c r="F257" s="2"/>
      <c r="G257" s="331"/>
      <c r="H257" s="186"/>
      <c r="I257" s="94"/>
      <c r="J257" s="195"/>
    </row>
    <row r="258" spans="1:10" ht="12.75">
      <c r="A258" s="181">
        <f>A255+1</f>
        <v>82</v>
      </c>
      <c r="B258" s="189" t="s">
        <v>702</v>
      </c>
      <c r="C258" s="183"/>
      <c r="D258" s="184" t="s">
        <v>665</v>
      </c>
      <c r="E258" s="185" t="s">
        <v>2</v>
      </c>
      <c r="F258" s="2">
        <f>+F254+E257</f>
        <v>12.001999999999999</v>
      </c>
      <c r="G258" s="332"/>
      <c r="H258" s="186">
        <f aca="true" t="shared" si="15" ref="H258:H270">F258*G258</f>
        <v>0</v>
      </c>
      <c r="I258" s="94" t="s">
        <v>618</v>
      </c>
      <c r="J258" s="195"/>
    </row>
    <row r="259" spans="1:11" ht="25.5">
      <c r="A259" s="181">
        <f aca="true" t="shared" si="16" ref="A259:A265">A258+1</f>
        <v>83</v>
      </c>
      <c r="B259" s="182" t="s">
        <v>102</v>
      </c>
      <c r="C259" s="217" t="s">
        <v>632</v>
      </c>
      <c r="D259" s="218" t="s">
        <v>348</v>
      </c>
      <c r="E259" s="224" t="s">
        <v>2</v>
      </c>
      <c r="F259" s="12">
        <f>1.1*(2.4*(1+0.91))</f>
        <v>5.042400000000001</v>
      </c>
      <c r="G259" s="333"/>
      <c r="H259" s="225">
        <f t="shared" si="15"/>
        <v>0</v>
      </c>
      <c r="I259" s="94" t="s">
        <v>618</v>
      </c>
      <c r="J259" s="195"/>
      <c r="K259" s="221" t="s">
        <v>350</v>
      </c>
    </row>
    <row r="260" spans="1:11" ht="25.5">
      <c r="A260" s="181">
        <f t="shared" si="16"/>
        <v>84</v>
      </c>
      <c r="B260" s="182" t="s">
        <v>103</v>
      </c>
      <c r="C260" s="217" t="s">
        <v>633</v>
      </c>
      <c r="D260" s="218" t="s">
        <v>349</v>
      </c>
      <c r="E260" s="224" t="s">
        <v>2</v>
      </c>
      <c r="F260" s="12">
        <f>+F255*1.1-F259</f>
        <v>21.5112095</v>
      </c>
      <c r="G260" s="333"/>
      <c r="H260" s="225">
        <f t="shared" si="15"/>
        <v>0</v>
      </c>
      <c r="I260" s="94" t="s">
        <v>618</v>
      </c>
      <c r="J260" s="195"/>
      <c r="K260" s="221" t="s">
        <v>351</v>
      </c>
    </row>
    <row r="261" spans="1:11" ht="25.5">
      <c r="A261" s="181">
        <f t="shared" si="16"/>
        <v>85</v>
      </c>
      <c r="B261" s="182" t="s">
        <v>104</v>
      </c>
      <c r="C261" s="217" t="s">
        <v>713</v>
      </c>
      <c r="D261" s="218" t="s">
        <v>251</v>
      </c>
      <c r="E261" s="224" t="s">
        <v>2</v>
      </c>
      <c r="F261" s="12">
        <f>+(F254)*1.1</f>
        <v>2.4860000000000007</v>
      </c>
      <c r="G261" s="333"/>
      <c r="H261" s="225">
        <f>F261*G261</f>
        <v>0</v>
      </c>
      <c r="I261" s="94" t="s">
        <v>618</v>
      </c>
      <c r="J261" s="195"/>
      <c r="K261" s="221" t="s">
        <v>252</v>
      </c>
    </row>
    <row r="262" spans="1:11" ht="12.75">
      <c r="A262" s="181">
        <f t="shared" si="16"/>
        <v>86</v>
      </c>
      <c r="B262" s="189" t="s">
        <v>820</v>
      </c>
      <c r="C262" s="183" t="s">
        <v>631</v>
      </c>
      <c r="D262" s="184" t="s">
        <v>821</v>
      </c>
      <c r="E262" s="185" t="s">
        <v>5</v>
      </c>
      <c r="F262" s="2">
        <f>2.4+0.3+2*1.2+0.91+0.735+2*1.993+3*0.6</f>
        <v>12.530999999999999</v>
      </c>
      <c r="G262" s="332"/>
      <c r="H262" s="186">
        <f t="shared" si="15"/>
        <v>0</v>
      </c>
      <c r="I262" s="94" t="s">
        <v>618</v>
      </c>
      <c r="K262" s="11"/>
    </row>
    <row r="263" spans="1:11" ht="25.5">
      <c r="A263" s="181">
        <f t="shared" si="16"/>
        <v>87</v>
      </c>
      <c r="B263" s="182" t="s">
        <v>105</v>
      </c>
      <c r="C263" s="222" t="s">
        <v>634</v>
      </c>
      <c r="D263" s="218" t="s">
        <v>352</v>
      </c>
      <c r="E263" s="224" t="s">
        <v>5</v>
      </c>
      <c r="F263" s="12">
        <v>3</v>
      </c>
      <c r="G263" s="333"/>
      <c r="H263" s="225">
        <f t="shared" si="15"/>
        <v>0</v>
      </c>
      <c r="I263" s="94" t="s">
        <v>618</v>
      </c>
      <c r="K263" s="221" t="s">
        <v>704</v>
      </c>
    </row>
    <row r="264" spans="1:11" ht="25.5">
      <c r="A264" s="181">
        <f t="shared" si="16"/>
        <v>88</v>
      </c>
      <c r="B264" s="182" t="s">
        <v>106</v>
      </c>
      <c r="C264" s="222" t="s">
        <v>634</v>
      </c>
      <c r="D264" s="218" t="s">
        <v>353</v>
      </c>
      <c r="E264" s="224" t="s">
        <v>5</v>
      </c>
      <c r="F264" s="12">
        <v>15</v>
      </c>
      <c r="G264" s="333"/>
      <c r="H264" s="225">
        <f t="shared" si="15"/>
        <v>0</v>
      </c>
      <c r="I264" s="94" t="s">
        <v>618</v>
      </c>
      <c r="K264" s="221" t="s">
        <v>703</v>
      </c>
    </row>
    <row r="265" spans="1:9" ht="12.75">
      <c r="A265" s="181">
        <f t="shared" si="16"/>
        <v>89</v>
      </c>
      <c r="B265" s="189" t="s">
        <v>822</v>
      </c>
      <c r="C265" s="183" t="s">
        <v>631</v>
      </c>
      <c r="D265" s="184" t="s">
        <v>107</v>
      </c>
      <c r="E265" s="185" t="s">
        <v>2</v>
      </c>
      <c r="F265" s="2">
        <f>1.8*2.1+1.65*2</f>
        <v>7.08</v>
      </c>
      <c r="G265" s="331"/>
      <c r="H265" s="186">
        <f t="shared" si="15"/>
        <v>0</v>
      </c>
      <c r="I265" s="94" t="s">
        <v>618</v>
      </c>
    </row>
    <row r="266" spans="1:11" ht="16.5">
      <c r="A266" s="181">
        <f>A265+1</f>
        <v>90</v>
      </c>
      <c r="B266" s="182" t="s">
        <v>109</v>
      </c>
      <c r="C266" s="222" t="s">
        <v>634</v>
      </c>
      <c r="D266" s="223" t="s">
        <v>554</v>
      </c>
      <c r="E266" s="224" t="s">
        <v>523</v>
      </c>
      <c r="F266" s="3">
        <f>+F265*1.5*2</f>
        <v>21.240000000000002</v>
      </c>
      <c r="G266" s="333"/>
      <c r="H266" s="225">
        <f t="shared" si="15"/>
        <v>0</v>
      </c>
      <c r="I266" s="94" t="s">
        <v>618</v>
      </c>
      <c r="K266" s="221" t="s">
        <v>108</v>
      </c>
    </row>
    <row r="267" spans="1:9" ht="12.75">
      <c r="A267" s="181">
        <f>A266+1</f>
        <v>91</v>
      </c>
      <c r="B267" s="189" t="s">
        <v>823</v>
      </c>
      <c r="C267" s="222"/>
      <c r="D267" s="184" t="s">
        <v>765</v>
      </c>
      <c r="E267" s="185" t="s">
        <v>5</v>
      </c>
      <c r="F267" s="2">
        <f>F268</f>
        <v>4.2</v>
      </c>
      <c r="G267" s="331"/>
      <c r="H267" s="186">
        <f t="shared" si="15"/>
        <v>0</v>
      </c>
      <c r="I267" s="94" t="s">
        <v>618</v>
      </c>
    </row>
    <row r="268" spans="1:9" ht="25.5">
      <c r="A268" s="181">
        <f>A267+1</f>
        <v>92</v>
      </c>
      <c r="B268" s="189">
        <v>28355360</v>
      </c>
      <c r="C268" s="222" t="s">
        <v>634</v>
      </c>
      <c r="D268" s="223" t="s">
        <v>627</v>
      </c>
      <c r="E268" s="224" t="s">
        <v>5</v>
      </c>
      <c r="F268" s="3">
        <f>2+2.2</f>
        <v>4.2</v>
      </c>
      <c r="G268" s="333"/>
      <c r="H268" s="225">
        <f t="shared" si="15"/>
        <v>0</v>
      </c>
      <c r="I268" s="94" t="s">
        <v>618</v>
      </c>
    </row>
    <row r="269" spans="1:9" ht="12.75">
      <c r="A269" s="181">
        <f>A268+1</f>
        <v>93</v>
      </c>
      <c r="B269" s="189" t="s">
        <v>849</v>
      </c>
      <c r="C269" s="222"/>
      <c r="D269" s="184" t="s">
        <v>850</v>
      </c>
      <c r="E269" s="185" t="s">
        <v>2</v>
      </c>
      <c r="F269" s="2">
        <f>+F270</f>
        <v>141.476445</v>
      </c>
      <c r="G269" s="332"/>
      <c r="H269" s="186">
        <f t="shared" si="15"/>
        <v>0</v>
      </c>
      <c r="I269" s="94" t="s">
        <v>618</v>
      </c>
    </row>
    <row r="270" spans="1:9" ht="12.75">
      <c r="A270" s="181">
        <f>A269+1</f>
        <v>94</v>
      </c>
      <c r="B270" s="189" t="s">
        <v>826</v>
      </c>
      <c r="C270" s="222"/>
      <c r="D270" s="184" t="s">
        <v>825</v>
      </c>
      <c r="E270" s="185" t="s">
        <v>2</v>
      </c>
      <c r="F270" s="2">
        <f>+E271+E272+E273</f>
        <v>141.476445</v>
      </c>
      <c r="G270" s="331"/>
      <c r="H270" s="186">
        <f t="shared" si="15"/>
        <v>0</v>
      </c>
      <c r="I270" s="94" t="s">
        <v>618</v>
      </c>
    </row>
    <row r="271" spans="1:11" ht="12.75">
      <c r="A271" s="181"/>
      <c r="B271" s="189"/>
      <c r="C271" s="183"/>
      <c r="D271" s="241" t="s">
        <v>203</v>
      </c>
      <c r="E271" s="242">
        <f>+F223+F241</f>
        <v>95.4956</v>
      </c>
      <c r="F271" s="2"/>
      <c r="G271" s="331"/>
      <c r="H271" s="186"/>
      <c r="I271" s="94"/>
      <c r="K271" s="231"/>
    </row>
    <row r="272" spans="1:11" ht="12.75">
      <c r="A272" s="181"/>
      <c r="B272" s="189"/>
      <c r="C272" s="183"/>
      <c r="D272" s="241" t="s">
        <v>847</v>
      </c>
      <c r="E272" s="242">
        <f>F181+F183+F166-0.6*1.08</f>
        <v>43.765645</v>
      </c>
      <c r="F272" s="2"/>
      <c r="G272" s="331"/>
      <c r="H272" s="186"/>
      <c r="I272" s="94"/>
      <c r="K272" s="231"/>
    </row>
    <row r="273" spans="1:11" ht="12.75">
      <c r="A273" s="181"/>
      <c r="B273" s="189"/>
      <c r="C273" s="183"/>
      <c r="D273" s="241" t="s">
        <v>714</v>
      </c>
      <c r="E273" s="242">
        <f>+F229</f>
        <v>2.2152</v>
      </c>
      <c r="F273" s="2"/>
      <c r="G273" s="331"/>
      <c r="H273" s="186"/>
      <c r="I273" s="94"/>
      <c r="K273" s="231"/>
    </row>
    <row r="274" spans="1:11" ht="12.75">
      <c r="A274" s="181">
        <f>A270+1</f>
        <v>95</v>
      </c>
      <c r="B274" s="182" t="s">
        <v>110</v>
      </c>
      <c r="C274" s="183"/>
      <c r="D274" s="184" t="s">
        <v>625</v>
      </c>
      <c r="E274" s="185" t="s">
        <v>1</v>
      </c>
      <c r="F274" s="2">
        <v>1</v>
      </c>
      <c r="G274" s="331"/>
      <c r="H274" s="186">
        <f>F274*G274</f>
        <v>0</v>
      </c>
      <c r="I274" s="94" t="s">
        <v>618</v>
      </c>
      <c r="J274" s="195"/>
      <c r="K274" s="231"/>
    </row>
    <row r="275" spans="1:9" ht="13.5" thickBot="1">
      <c r="A275" s="181">
        <f>A274+1</f>
        <v>96</v>
      </c>
      <c r="B275" s="182" t="s">
        <v>64</v>
      </c>
      <c r="C275" s="183"/>
      <c r="D275" s="226" t="s">
        <v>539</v>
      </c>
      <c r="E275" s="185" t="s">
        <v>10</v>
      </c>
      <c r="F275" s="2">
        <f>+H207+H208+H209+H210+H211+H217+H223+H229+H235+H241+H247+H253+H259+H260+H261+H263+H264+H266+H268+H269+H270</f>
        <v>0</v>
      </c>
      <c r="G275" s="334"/>
      <c r="H275" s="186">
        <f>F275*G275</f>
        <v>0</v>
      </c>
      <c r="I275" s="94" t="s">
        <v>618</v>
      </c>
    </row>
    <row r="276" spans="1:9" ht="13.5" thickBot="1">
      <c r="A276" s="181"/>
      <c r="B276" s="243"/>
      <c r="C276" s="183"/>
      <c r="D276" s="162" t="s">
        <v>3</v>
      </c>
      <c r="E276" s="163"/>
      <c r="F276" s="227"/>
      <c r="G276" s="228"/>
      <c r="H276" s="203">
        <f>SUBTOTAL(9,H201:H275)</f>
        <v>0</v>
      </c>
      <c r="I276" s="94"/>
    </row>
    <row r="277" spans="1:9" ht="12.75">
      <c r="A277" s="181"/>
      <c r="B277" s="189"/>
      <c r="C277" s="183"/>
      <c r="D277" s="204"/>
      <c r="E277" s="168"/>
      <c r="F277" s="68"/>
      <c r="G277" s="110"/>
      <c r="H277" s="205"/>
      <c r="I277" s="94"/>
    </row>
    <row r="278" spans="1:9" ht="16.5">
      <c r="A278" s="181"/>
      <c r="B278" s="189"/>
      <c r="C278" s="207" t="s">
        <v>531</v>
      </c>
      <c r="D278" s="146" t="s">
        <v>551</v>
      </c>
      <c r="E278" s="146"/>
      <c r="F278" s="206"/>
      <c r="G278" s="146"/>
      <c r="H278" s="146"/>
      <c r="I278" s="94"/>
    </row>
    <row r="279" spans="1:9" ht="87.75" customHeight="1">
      <c r="A279" s="181"/>
      <c r="B279" s="189"/>
      <c r="C279" s="176"/>
      <c r="D279" s="306" t="s">
        <v>561</v>
      </c>
      <c r="E279" s="306"/>
      <c r="F279" s="306"/>
      <c r="G279" s="237"/>
      <c r="H279" s="237"/>
      <c r="I279" s="94"/>
    </row>
    <row r="280" spans="1:9" ht="12.75">
      <c r="A280" s="181">
        <f>A275+1</f>
        <v>97</v>
      </c>
      <c r="B280" s="187" t="s">
        <v>356</v>
      </c>
      <c r="C280" s="16" t="s">
        <v>354</v>
      </c>
      <c r="D280" s="14" t="s">
        <v>355</v>
      </c>
      <c r="E280" s="8" t="s">
        <v>4</v>
      </c>
      <c r="F280" s="4">
        <f>+F281+F282+F283</f>
        <v>3</v>
      </c>
      <c r="G280" s="331"/>
      <c r="H280" s="9">
        <f>F280*G280</f>
        <v>0</v>
      </c>
      <c r="I280" s="94" t="s">
        <v>618</v>
      </c>
    </row>
    <row r="281" spans="1:11" ht="25.5">
      <c r="A281" s="181">
        <f aca="true" t="shared" si="17" ref="A281:A286">A280+1</f>
        <v>98</v>
      </c>
      <c r="B281" s="182" t="s">
        <v>165</v>
      </c>
      <c r="C281" s="217" t="s">
        <v>158</v>
      </c>
      <c r="D281" s="218" t="s">
        <v>233</v>
      </c>
      <c r="E281" s="219" t="s">
        <v>4</v>
      </c>
      <c r="F281" s="12">
        <v>1</v>
      </c>
      <c r="G281" s="333"/>
      <c r="H281" s="220">
        <f aca="true" t="shared" si="18" ref="H281:H286">F281*G281</f>
        <v>0</v>
      </c>
      <c r="I281" s="32" t="s">
        <v>618</v>
      </c>
      <c r="J281" s="244"/>
      <c r="K281" s="221"/>
    </row>
    <row r="282" spans="1:11" ht="25.5">
      <c r="A282" s="181">
        <f t="shared" si="17"/>
        <v>99</v>
      </c>
      <c r="B282" s="182" t="s">
        <v>165</v>
      </c>
      <c r="C282" s="217" t="s">
        <v>159</v>
      </c>
      <c r="D282" s="218" t="s">
        <v>234</v>
      </c>
      <c r="E282" s="219" t="s">
        <v>4</v>
      </c>
      <c r="F282" s="12">
        <v>1</v>
      </c>
      <c r="G282" s="333"/>
      <c r="H282" s="220">
        <f t="shared" si="18"/>
        <v>0</v>
      </c>
      <c r="I282" s="32" t="s">
        <v>618</v>
      </c>
      <c r="J282" s="244"/>
      <c r="K282" s="221"/>
    </row>
    <row r="283" spans="1:11" ht="25.5">
      <c r="A283" s="181">
        <f t="shared" si="17"/>
        <v>100</v>
      </c>
      <c r="B283" s="182" t="s">
        <v>164</v>
      </c>
      <c r="C283" s="217" t="s">
        <v>160</v>
      </c>
      <c r="D283" s="218" t="s">
        <v>235</v>
      </c>
      <c r="E283" s="219" t="s">
        <v>4</v>
      </c>
      <c r="F283" s="12">
        <v>1</v>
      </c>
      <c r="G283" s="333"/>
      <c r="H283" s="220">
        <f t="shared" si="18"/>
        <v>0</v>
      </c>
      <c r="I283" s="32" t="s">
        <v>618</v>
      </c>
      <c r="J283" s="244"/>
      <c r="K283" s="221"/>
    </row>
    <row r="284" spans="1:11" ht="16.5">
      <c r="A284" s="181">
        <f t="shared" si="17"/>
        <v>101</v>
      </c>
      <c r="B284" s="187" t="s">
        <v>357</v>
      </c>
      <c r="C284" s="16" t="s">
        <v>521</v>
      </c>
      <c r="D284" s="14" t="s">
        <v>358</v>
      </c>
      <c r="E284" s="8" t="s">
        <v>359</v>
      </c>
      <c r="F284" s="4">
        <v>1</v>
      </c>
      <c r="G284" s="331"/>
      <c r="H284" s="9">
        <f t="shared" si="18"/>
        <v>0</v>
      </c>
      <c r="I284" s="32" t="s">
        <v>621</v>
      </c>
      <c r="K284" s="221"/>
    </row>
    <row r="285" spans="1:11" ht="16.5">
      <c r="A285" s="181">
        <f t="shared" si="17"/>
        <v>102</v>
      </c>
      <c r="B285" s="187" t="s">
        <v>360</v>
      </c>
      <c r="C285" s="16" t="s">
        <v>521</v>
      </c>
      <c r="D285" s="14" t="s">
        <v>361</v>
      </c>
      <c r="E285" s="8" t="s">
        <v>4</v>
      </c>
      <c r="F285" s="4">
        <v>1</v>
      </c>
      <c r="G285" s="331"/>
      <c r="H285" s="9">
        <f t="shared" si="18"/>
        <v>0</v>
      </c>
      <c r="I285" s="32" t="s">
        <v>621</v>
      </c>
      <c r="K285" s="221"/>
    </row>
    <row r="286" spans="1:11" ht="51">
      <c r="A286" s="181">
        <f t="shared" si="17"/>
        <v>103</v>
      </c>
      <c r="B286" s="196" t="s">
        <v>459</v>
      </c>
      <c r="C286" s="217" t="s">
        <v>30</v>
      </c>
      <c r="D286" s="218" t="s">
        <v>461</v>
      </c>
      <c r="E286" s="219" t="s">
        <v>4</v>
      </c>
      <c r="F286" s="12">
        <v>1</v>
      </c>
      <c r="G286" s="333"/>
      <c r="H286" s="220">
        <f t="shared" si="18"/>
        <v>0</v>
      </c>
      <c r="I286" s="32" t="s">
        <v>621</v>
      </c>
      <c r="K286" s="221"/>
    </row>
    <row r="287" spans="1:11" ht="20.25" customHeight="1" hidden="1">
      <c r="A287" s="181">
        <f aca="true" t="shared" si="19" ref="A287:A293">A286+1</f>
        <v>104</v>
      </c>
      <c r="B287" s="196"/>
      <c r="C287" s="245"/>
      <c r="D287" s="246" t="s">
        <v>460</v>
      </c>
      <c r="E287" s="219"/>
      <c r="F287" s="247">
        <v>3670</v>
      </c>
      <c r="G287" s="336"/>
      <c r="H287" s="220"/>
      <c r="K287" s="221"/>
    </row>
    <row r="288" spans="1:11" ht="16.5" hidden="1">
      <c r="A288" s="181">
        <f t="shared" si="19"/>
        <v>105</v>
      </c>
      <c r="B288" s="187"/>
      <c r="C288" s="245"/>
      <c r="D288" s="246" t="s">
        <v>362</v>
      </c>
      <c r="E288" s="219"/>
      <c r="F288" s="247">
        <v>880</v>
      </c>
      <c r="G288" s="336"/>
      <c r="H288" s="220"/>
      <c r="K288" s="221"/>
    </row>
    <row r="289" spans="1:11" ht="16.5" hidden="1">
      <c r="A289" s="181">
        <f t="shared" si="19"/>
        <v>106</v>
      </c>
      <c r="B289" s="187"/>
      <c r="C289" s="245"/>
      <c r="D289" s="246" t="s">
        <v>363</v>
      </c>
      <c r="E289" s="219"/>
      <c r="F289" s="247">
        <v>2100</v>
      </c>
      <c r="G289" s="336"/>
      <c r="H289" s="220"/>
      <c r="K289" s="221"/>
    </row>
    <row r="290" spans="1:11" ht="16.5" hidden="1">
      <c r="A290" s="181">
        <f t="shared" si="19"/>
        <v>107</v>
      </c>
      <c r="B290" s="187"/>
      <c r="C290" s="245"/>
      <c r="D290" s="246" t="s">
        <v>364</v>
      </c>
      <c r="E290" s="219"/>
      <c r="F290" s="247">
        <f>100+350</f>
        <v>450</v>
      </c>
      <c r="G290" s="336"/>
      <c r="H290" s="220"/>
      <c r="K290" s="221"/>
    </row>
    <row r="291" spans="1:11" ht="25.5">
      <c r="A291" s="181">
        <f t="shared" si="19"/>
        <v>108</v>
      </c>
      <c r="B291" s="187" t="s">
        <v>496</v>
      </c>
      <c r="C291" s="217" t="s">
        <v>30</v>
      </c>
      <c r="D291" s="218" t="s">
        <v>365</v>
      </c>
      <c r="E291" s="219" t="s">
        <v>4</v>
      </c>
      <c r="F291" s="12">
        <v>1</v>
      </c>
      <c r="G291" s="333"/>
      <c r="H291" s="220">
        <f aca="true" t="shared" si="20" ref="H291:H296">F291*G291</f>
        <v>0</v>
      </c>
      <c r="I291" s="32" t="s">
        <v>618</v>
      </c>
      <c r="K291" s="221" t="s">
        <v>366</v>
      </c>
    </row>
    <row r="292" spans="1:9" ht="12.75">
      <c r="A292" s="181">
        <f t="shared" si="19"/>
        <v>109</v>
      </c>
      <c r="B292" s="187" t="s">
        <v>707</v>
      </c>
      <c r="C292" s="16" t="s">
        <v>367</v>
      </c>
      <c r="D292" s="14" t="s">
        <v>706</v>
      </c>
      <c r="E292" s="8" t="s">
        <v>4</v>
      </c>
      <c r="F292" s="4">
        <v>1</v>
      </c>
      <c r="G292" s="331"/>
      <c r="H292" s="9">
        <f t="shared" si="20"/>
        <v>0</v>
      </c>
      <c r="I292" s="32" t="s">
        <v>618</v>
      </c>
    </row>
    <row r="293" spans="1:11" ht="38.25">
      <c r="A293" s="181">
        <f t="shared" si="19"/>
        <v>110</v>
      </c>
      <c r="B293" s="196" t="s">
        <v>462</v>
      </c>
      <c r="C293" s="248" t="s">
        <v>161</v>
      </c>
      <c r="D293" s="218" t="s">
        <v>236</v>
      </c>
      <c r="E293" s="219" t="s">
        <v>4</v>
      </c>
      <c r="F293" s="12">
        <v>1</v>
      </c>
      <c r="G293" s="333"/>
      <c r="H293" s="220">
        <f t="shared" si="20"/>
        <v>0</v>
      </c>
      <c r="I293" s="32" t="s">
        <v>618</v>
      </c>
      <c r="K293" s="221" t="s">
        <v>368</v>
      </c>
    </row>
    <row r="294" spans="1:11" ht="16.5">
      <c r="A294" s="181">
        <f aca="true" t="shared" si="21" ref="A294:A301">A293+1</f>
        <v>111</v>
      </c>
      <c r="B294" s="182" t="s">
        <v>163</v>
      </c>
      <c r="C294" s="217" t="s">
        <v>161</v>
      </c>
      <c r="D294" s="218" t="s">
        <v>162</v>
      </c>
      <c r="E294" s="219" t="s">
        <v>4</v>
      </c>
      <c r="F294" s="12">
        <v>1</v>
      </c>
      <c r="G294" s="333"/>
      <c r="H294" s="220">
        <f t="shared" si="20"/>
        <v>0</v>
      </c>
      <c r="I294" s="32" t="s">
        <v>618</v>
      </c>
      <c r="K294" s="221"/>
    </row>
    <row r="295" spans="1:11" ht="16.5">
      <c r="A295" s="181">
        <f t="shared" si="21"/>
        <v>112</v>
      </c>
      <c r="B295" s="196" t="s">
        <v>371</v>
      </c>
      <c r="C295" s="16" t="s">
        <v>521</v>
      </c>
      <c r="D295" s="14" t="s">
        <v>369</v>
      </c>
      <c r="E295" s="8" t="s">
        <v>4</v>
      </c>
      <c r="F295" s="4">
        <v>4</v>
      </c>
      <c r="G295" s="331"/>
      <c r="H295" s="9">
        <f t="shared" si="20"/>
        <v>0</v>
      </c>
      <c r="I295" s="32" t="s">
        <v>618</v>
      </c>
      <c r="K295" s="221"/>
    </row>
    <row r="296" spans="1:11" ht="16.5">
      <c r="A296" s="181">
        <f t="shared" si="21"/>
        <v>113</v>
      </c>
      <c r="B296" s="196" t="s">
        <v>463</v>
      </c>
      <c r="C296" s="16" t="s">
        <v>521</v>
      </c>
      <c r="D296" s="14" t="s">
        <v>370</v>
      </c>
      <c r="E296" s="8" t="s">
        <v>4</v>
      </c>
      <c r="F296" s="4">
        <v>1</v>
      </c>
      <c r="G296" s="331"/>
      <c r="H296" s="9">
        <f t="shared" si="20"/>
        <v>0</v>
      </c>
      <c r="I296" s="32" t="s">
        <v>621</v>
      </c>
      <c r="K296" s="221"/>
    </row>
    <row r="297" spans="1:11" ht="25.5">
      <c r="A297" s="181">
        <f t="shared" si="21"/>
        <v>114</v>
      </c>
      <c r="B297" s="182" t="s">
        <v>373</v>
      </c>
      <c r="C297" s="183" t="s">
        <v>841</v>
      </c>
      <c r="D297" s="14" t="s">
        <v>372</v>
      </c>
      <c r="E297" s="185" t="s">
        <v>4</v>
      </c>
      <c r="F297" s="2">
        <v>1</v>
      </c>
      <c r="G297" s="331"/>
      <c r="H297" s="186">
        <f aca="true" t="shared" si="22" ref="H297:H306">F297*G297</f>
        <v>0</v>
      </c>
      <c r="I297" s="94" t="s">
        <v>618</v>
      </c>
      <c r="K297" s="221" t="s">
        <v>40</v>
      </c>
    </row>
    <row r="298" spans="1:9" ht="12.75">
      <c r="A298" s="181">
        <f t="shared" si="21"/>
        <v>115</v>
      </c>
      <c r="B298" s="182" t="s">
        <v>464</v>
      </c>
      <c r="C298" s="183"/>
      <c r="D298" s="184" t="s">
        <v>465</v>
      </c>
      <c r="E298" s="185" t="s">
        <v>4</v>
      </c>
      <c r="F298" s="2">
        <v>3</v>
      </c>
      <c r="G298" s="331"/>
      <c r="H298" s="186">
        <f t="shared" si="22"/>
        <v>0</v>
      </c>
      <c r="I298" s="94" t="s">
        <v>618</v>
      </c>
    </row>
    <row r="299" spans="1:9" ht="25.5">
      <c r="A299" s="181">
        <f t="shared" si="21"/>
        <v>116</v>
      </c>
      <c r="B299" s="182" t="s">
        <v>228</v>
      </c>
      <c r="C299" s="183"/>
      <c r="D299" s="184" t="s">
        <v>229</v>
      </c>
      <c r="E299" s="185" t="s">
        <v>5</v>
      </c>
      <c r="F299" s="2">
        <v>0.96</v>
      </c>
      <c r="G299" s="331"/>
      <c r="H299" s="186">
        <f t="shared" si="22"/>
        <v>0</v>
      </c>
      <c r="I299" s="94" t="s">
        <v>618</v>
      </c>
    </row>
    <row r="300" spans="1:9" ht="25.5">
      <c r="A300" s="181">
        <f t="shared" si="21"/>
        <v>117</v>
      </c>
      <c r="B300" s="182" t="s">
        <v>41</v>
      </c>
      <c r="C300" s="183" t="s">
        <v>521</v>
      </c>
      <c r="D300" s="184" t="s">
        <v>720</v>
      </c>
      <c r="E300" s="185" t="s">
        <v>10</v>
      </c>
      <c r="F300" s="2">
        <f>G301</f>
        <v>0</v>
      </c>
      <c r="G300" s="337"/>
      <c r="H300" s="186">
        <f t="shared" si="22"/>
        <v>0</v>
      </c>
      <c r="I300" s="94" t="s">
        <v>621</v>
      </c>
    </row>
    <row r="301" spans="1:11" ht="25.5">
      <c r="A301" s="181">
        <f t="shared" si="21"/>
        <v>118</v>
      </c>
      <c r="B301" s="182" t="s">
        <v>111</v>
      </c>
      <c r="C301" s="222" t="s">
        <v>520</v>
      </c>
      <c r="D301" s="223" t="s">
        <v>664</v>
      </c>
      <c r="E301" s="224" t="s">
        <v>1</v>
      </c>
      <c r="F301" s="3">
        <v>1</v>
      </c>
      <c r="G301" s="333"/>
      <c r="H301" s="225">
        <f t="shared" si="22"/>
        <v>0</v>
      </c>
      <c r="I301" s="94" t="s">
        <v>621</v>
      </c>
      <c r="K301" s="26"/>
    </row>
    <row r="302" spans="1:18" ht="25.5">
      <c r="A302" s="181">
        <f>A301+1</f>
        <v>119</v>
      </c>
      <c r="B302" s="182" t="s">
        <v>113</v>
      </c>
      <c r="C302" s="183" t="s">
        <v>827</v>
      </c>
      <c r="D302" s="14" t="s">
        <v>374</v>
      </c>
      <c r="E302" s="185" t="s">
        <v>4</v>
      </c>
      <c r="F302" s="2">
        <v>1</v>
      </c>
      <c r="G302" s="331"/>
      <c r="H302" s="186">
        <f t="shared" si="22"/>
        <v>0</v>
      </c>
      <c r="I302" s="17" t="s">
        <v>621</v>
      </c>
      <c r="K302" s="221" t="s">
        <v>378</v>
      </c>
      <c r="O302" s="78"/>
      <c r="R302" s="30"/>
    </row>
    <row r="303" spans="1:18" ht="25.5">
      <c r="A303" s="181">
        <f>A302+1</f>
        <v>120</v>
      </c>
      <c r="B303" s="182" t="s">
        <v>115</v>
      </c>
      <c r="C303" s="183" t="s">
        <v>827</v>
      </c>
      <c r="D303" s="14" t="s">
        <v>375</v>
      </c>
      <c r="E303" s="185" t="s">
        <v>4</v>
      </c>
      <c r="F303" s="2">
        <v>1</v>
      </c>
      <c r="G303" s="331"/>
      <c r="H303" s="186">
        <f t="shared" si="22"/>
        <v>0</v>
      </c>
      <c r="I303" s="17" t="s">
        <v>621</v>
      </c>
      <c r="K303" s="221" t="s">
        <v>705</v>
      </c>
      <c r="O303" s="78"/>
      <c r="R303" s="30"/>
    </row>
    <row r="304" spans="1:18" ht="25.5">
      <c r="A304" s="181">
        <f>A303+1</f>
        <v>121</v>
      </c>
      <c r="B304" s="182" t="s">
        <v>114</v>
      </c>
      <c r="C304" s="183" t="s">
        <v>827</v>
      </c>
      <c r="D304" s="14" t="s">
        <v>376</v>
      </c>
      <c r="E304" s="185" t="s">
        <v>4</v>
      </c>
      <c r="F304" s="2">
        <v>1</v>
      </c>
      <c r="G304" s="331"/>
      <c r="H304" s="186">
        <f t="shared" si="22"/>
        <v>0</v>
      </c>
      <c r="I304" s="17" t="s">
        <v>621</v>
      </c>
      <c r="K304" s="221" t="s">
        <v>379</v>
      </c>
      <c r="O304" s="78"/>
      <c r="R304" s="30"/>
    </row>
    <row r="305" spans="1:11" ht="25.5">
      <c r="A305" s="181">
        <f>A304+1</f>
        <v>122</v>
      </c>
      <c r="B305" s="182" t="s">
        <v>112</v>
      </c>
      <c r="C305" s="183" t="s">
        <v>827</v>
      </c>
      <c r="D305" s="14" t="s">
        <v>377</v>
      </c>
      <c r="E305" s="185" t="s">
        <v>4</v>
      </c>
      <c r="F305" s="2">
        <v>1</v>
      </c>
      <c r="G305" s="331"/>
      <c r="H305" s="186">
        <f t="shared" si="22"/>
        <v>0</v>
      </c>
      <c r="I305" s="94" t="s">
        <v>621</v>
      </c>
      <c r="K305" s="221" t="s">
        <v>380</v>
      </c>
    </row>
    <row r="306" spans="1:11" ht="13.5" thickBot="1">
      <c r="A306" s="181">
        <f>A305+1</f>
        <v>123</v>
      </c>
      <c r="B306" s="182" t="s">
        <v>64</v>
      </c>
      <c r="C306" s="183"/>
      <c r="D306" s="184" t="s">
        <v>536</v>
      </c>
      <c r="E306" s="235" t="s">
        <v>10</v>
      </c>
      <c r="F306" s="2">
        <f>+H281+H282+H283+H286+H291+H293+H294+H297+H301+H302+H303+H304+H305</f>
        <v>0</v>
      </c>
      <c r="G306" s="335"/>
      <c r="H306" s="236">
        <f t="shared" si="22"/>
        <v>0</v>
      </c>
      <c r="I306" s="94" t="s">
        <v>621</v>
      </c>
      <c r="K306" s="11"/>
    </row>
    <row r="307" spans="1:8" ht="13.5" thickBot="1">
      <c r="A307" s="181"/>
      <c r="B307" s="189"/>
      <c r="C307" s="183"/>
      <c r="D307" s="162" t="s">
        <v>3</v>
      </c>
      <c r="E307" s="163"/>
      <c r="F307" s="227"/>
      <c r="G307" s="228"/>
      <c r="H307" s="203">
        <f>SUM(H280:H306)</f>
        <v>0</v>
      </c>
    </row>
    <row r="308" spans="1:11" ht="12.75">
      <c r="A308" s="181"/>
      <c r="B308" s="189"/>
      <c r="C308" s="183"/>
      <c r="D308" s="204"/>
      <c r="E308" s="168"/>
      <c r="F308" s="68"/>
      <c r="G308" s="110"/>
      <c r="H308" s="205"/>
      <c r="I308" s="94"/>
      <c r="K308" s="78" t="s">
        <v>635</v>
      </c>
    </row>
    <row r="309" spans="1:9" ht="16.5">
      <c r="A309" s="181"/>
      <c r="B309" s="189"/>
      <c r="C309" s="207" t="s">
        <v>532</v>
      </c>
      <c r="D309" s="146" t="s">
        <v>535</v>
      </c>
      <c r="E309" s="146"/>
      <c r="F309" s="206"/>
      <c r="G309" s="146"/>
      <c r="H309" s="146"/>
      <c r="I309" s="94"/>
    </row>
    <row r="310" spans="1:9" ht="90" customHeight="1">
      <c r="A310" s="181"/>
      <c r="B310" s="189"/>
      <c r="C310" s="176"/>
      <c r="D310" s="306" t="s">
        <v>561</v>
      </c>
      <c r="E310" s="306"/>
      <c r="F310" s="306"/>
      <c r="G310" s="237"/>
      <c r="H310" s="237"/>
      <c r="I310" s="94"/>
    </row>
    <row r="311" spans="1:11" ht="25.5">
      <c r="A311" s="181">
        <f>A306+1</f>
        <v>124</v>
      </c>
      <c r="B311" s="196" t="s">
        <v>469</v>
      </c>
      <c r="C311" s="16" t="s">
        <v>521</v>
      </c>
      <c r="D311" s="14" t="s">
        <v>381</v>
      </c>
      <c r="E311" s="8" t="s">
        <v>4</v>
      </c>
      <c r="F311" s="4">
        <f>SUM(F312,F313)</f>
        <v>3</v>
      </c>
      <c r="G311" s="331"/>
      <c r="H311" s="9">
        <f>F311*G311</f>
        <v>0</v>
      </c>
      <c r="I311" s="17" t="s">
        <v>618</v>
      </c>
      <c r="K311" s="11"/>
    </row>
    <row r="312" spans="1:11" ht="38.25">
      <c r="A312" s="181">
        <f>A311+1</f>
        <v>125</v>
      </c>
      <c r="B312" s="182" t="s">
        <v>467</v>
      </c>
      <c r="C312" s="217" t="s">
        <v>520</v>
      </c>
      <c r="D312" s="218" t="s">
        <v>382</v>
      </c>
      <c r="E312" s="219" t="s">
        <v>4</v>
      </c>
      <c r="F312" s="12">
        <v>2</v>
      </c>
      <c r="G312" s="338"/>
      <c r="H312" s="220">
        <f aca="true" t="shared" si="23" ref="H312:H318">F312*G312</f>
        <v>0</v>
      </c>
      <c r="I312" s="17" t="s">
        <v>618</v>
      </c>
      <c r="K312" s="221" t="s">
        <v>383</v>
      </c>
    </row>
    <row r="313" spans="1:11" ht="38.25">
      <c r="A313" s="181">
        <f aca="true" t="shared" si="24" ref="A313:A318">A312+1</f>
        <v>126</v>
      </c>
      <c r="B313" s="182" t="s">
        <v>468</v>
      </c>
      <c r="C313" s="217" t="s">
        <v>520</v>
      </c>
      <c r="D313" s="218" t="s">
        <v>384</v>
      </c>
      <c r="E313" s="219" t="s">
        <v>4</v>
      </c>
      <c r="F313" s="12">
        <v>1</v>
      </c>
      <c r="G313" s="338"/>
      <c r="H313" s="220">
        <f t="shared" si="23"/>
        <v>0</v>
      </c>
      <c r="I313" s="17" t="s">
        <v>618</v>
      </c>
      <c r="K313" s="11" t="s">
        <v>466</v>
      </c>
    </row>
    <row r="314" spans="1:9" ht="12.75">
      <c r="A314" s="181">
        <f t="shared" si="24"/>
        <v>127</v>
      </c>
      <c r="B314" s="5" t="s">
        <v>204</v>
      </c>
      <c r="C314" s="190" t="s">
        <v>521</v>
      </c>
      <c r="D314" s="14" t="s">
        <v>205</v>
      </c>
      <c r="E314" s="185" t="s">
        <v>523</v>
      </c>
      <c r="F314" s="2">
        <f>+F315</f>
        <v>21.456</v>
      </c>
      <c r="G314" s="332"/>
      <c r="H314" s="186">
        <f t="shared" si="23"/>
        <v>0</v>
      </c>
      <c r="I314" s="94" t="s">
        <v>618</v>
      </c>
    </row>
    <row r="315" spans="1:11" ht="16.5">
      <c r="A315" s="181">
        <f t="shared" si="24"/>
        <v>128</v>
      </c>
      <c r="B315" s="182">
        <v>13383315</v>
      </c>
      <c r="C315" s="222" t="s">
        <v>520</v>
      </c>
      <c r="D315" s="223" t="s">
        <v>253</v>
      </c>
      <c r="E315" s="224" t="s">
        <v>523</v>
      </c>
      <c r="F315" s="12">
        <f>4.47*4.8</f>
        <v>21.456</v>
      </c>
      <c r="G315" s="339"/>
      <c r="H315" s="225">
        <f t="shared" si="23"/>
        <v>0</v>
      </c>
      <c r="I315" s="94" t="s">
        <v>618</v>
      </c>
      <c r="J315" s="195"/>
      <c r="K315" s="221" t="s">
        <v>385</v>
      </c>
    </row>
    <row r="316" spans="1:9" ht="12.75">
      <c r="A316" s="181">
        <f t="shared" si="24"/>
        <v>129</v>
      </c>
      <c r="B316" s="182" t="s">
        <v>470</v>
      </c>
      <c r="C316" s="190" t="s">
        <v>521</v>
      </c>
      <c r="D316" s="184" t="s">
        <v>166</v>
      </c>
      <c r="E316" s="185" t="s">
        <v>5</v>
      </c>
      <c r="F316" s="2">
        <v>4.8</v>
      </c>
      <c r="G316" s="332"/>
      <c r="H316" s="186">
        <f t="shared" si="23"/>
        <v>0</v>
      </c>
      <c r="I316" s="94" t="s">
        <v>618</v>
      </c>
    </row>
    <row r="317" spans="1:11" ht="16.5">
      <c r="A317" s="181">
        <f t="shared" si="24"/>
        <v>130</v>
      </c>
      <c r="B317" s="182" t="s">
        <v>168</v>
      </c>
      <c r="C317" s="222" t="s">
        <v>520</v>
      </c>
      <c r="D317" s="223" t="s">
        <v>167</v>
      </c>
      <c r="E317" s="224" t="s">
        <v>5</v>
      </c>
      <c r="F317" s="3">
        <f>+F316</f>
        <v>4.8</v>
      </c>
      <c r="G317" s="339"/>
      <c r="H317" s="225">
        <f t="shared" si="23"/>
        <v>0</v>
      </c>
      <c r="I317" s="94" t="s">
        <v>618</v>
      </c>
      <c r="K317" s="221"/>
    </row>
    <row r="318" spans="1:9" ht="13.5" thickBot="1">
      <c r="A318" s="181">
        <f t="shared" si="24"/>
        <v>131</v>
      </c>
      <c r="B318" s="182" t="s">
        <v>64</v>
      </c>
      <c r="C318" s="183"/>
      <c r="D318" s="184" t="s">
        <v>536</v>
      </c>
      <c r="E318" s="235" t="s">
        <v>10</v>
      </c>
      <c r="F318" s="2">
        <f>+H312+H313+H315+H317</f>
        <v>0</v>
      </c>
      <c r="G318" s="335"/>
      <c r="H318" s="236">
        <f t="shared" si="23"/>
        <v>0</v>
      </c>
      <c r="I318" s="94" t="s">
        <v>618</v>
      </c>
    </row>
    <row r="319" spans="1:8" ht="13.5" thickBot="1">
      <c r="A319" s="181"/>
      <c r="B319" s="189"/>
      <c r="C319" s="183"/>
      <c r="D319" s="162" t="s">
        <v>3</v>
      </c>
      <c r="E319" s="163"/>
      <c r="F319" s="227"/>
      <c r="G319" s="228"/>
      <c r="H319" s="203">
        <f>SUBTOTAL(9,H311:H318)</f>
        <v>0</v>
      </c>
    </row>
    <row r="320" spans="1:9" ht="12.75">
      <c r="A320" s="181"/>
      <c r="B320" s="189"/>
      <c r="C320" s="183"/>
      <c r="D320" s="204"/>
      <c r="E320" s="168"/>
      <c r="F320" s="68"/>
      <c r="G320" s="110"/>
      <c r="H320" s="205"/>
      <c r="I320" s="94"/>
    </row>
    <row r="321" spans="1:9" ht="16.5">
      <c r="A321" s="181"/>
      <c r="B321" s="189"/>
      <c r="C321" s="207" t="s">
        <v>533</v>
      </c>
      <c r="D321" s="146" t="s">
        <v>552</v>
      </c>
      <c r="E321" s="146"/>
      <c r="F321" s="206"/>
      <c r="G321" s="146"/>
      <c r="H321" s="146"/>
      <c r="I321" s="94"/>
    </row>
    <row r="322" spans="1:9" ht="72.75" customHeight="1">
      <c r="A322" s="181"/>
      <c r="B322" s="189"/>
      <c r="C322" s="176"/>
      <c r="D322" s="306" t="s">
        <v>556</v>
      </c>
      <c r="E322" s="306"/>
      <c r="F322" s="306"/>
      <c r="G322" s="237"/>
      <c r="H322" s="237"/>
      <c r="I322" s="94"/>
    </row>
    <row r="323" spans="1:11" ht="25.5">
      <c r="A323" s="188">
        <f>A318+1</f>
        <v>132</v>
      </c>
      <c r="B323" s="196" t="s">
        <v>471</v>
      </c>
      <c r="C323" s="6" t="s">
        <v>386</v>
      </c>
      <c r="D323" s="14" t="s">
        <v>387</v>
      </c>
      <c r="E323" s="8" t="s">
        <v>2</v>
      </c>
      <c r="F323" s="4">
        <f>+E324+E325+E326+E327+E328</f>
        <v>36.4</v>
      </c>
      <c r="G323" s="331"/>
      <c r="H323" s="9">
        <f>F323*G323</f>
        <v>0</v>
      </c>
      <c r="I323" s="17" t="s">
        <v>618</v>
      </c>
      <c r="K323" s="221" t="s">
        <v>388</v>
      </c>
    </row>
    <row r="324" spans="1:11" ht="12.75">
      <c r="A324" s="188"/>
      <c r="B324" s="5"/>
      <c r="C324" s="6"/>
      <c r="D324" s="209" t="s">
        <v>389</v>
      </c>
      <c r="E324" s="210">
        <v>4</v>
      </c>
      <c r="F324" s="4"/>
      <c r="G324" s="331"/>
      <c r="H324" s="9"/>
      <c r="I324" s="17"/>
      <c r="K324" s="11"/>
    </row>
    <row r="325" spans="1:11" ht="12.75">
      <c r="A325" s="188"/>
      <c r="B325" s="5"/>
      <c r="C325" s="6"/>
      <c r="D325" s="209" t="s">
        <v>390</v>
      </c>
      <c r="E325" s="210">
        <v>9.7</v>
      </c>
      <c r="F325" s="4"/>
      <c r="G325" s="331"/>
      <c r="H325" s="9"/>
      <c r="I325" s="17"/>
      <c r="K325" s="11"/>
    </row>
    <row r="326" spans="1:11" ht="12.75">
      <c r="A326" s="188"/>
      <c r="B326" s="5"/>
      <c r="C326" s="6"/>
      <c r="D326" s="209" t="s">
        <v>391</v>
      </c>
      <c r="E326" s="210">
        <v>19.2</v>
      </c>
      <c r="F326" s="4"/>
      <c r="G326" s="331"/>
      <c r="H326" s="9"/>
      <c r="I326" s="17"/>
      <c r="K326" s="11"/>
    </row>
    <row r="327" spans="1:11" ht="12.75">
      <c r="A327" s="188"/>
      <c r="B327" s="5"/>
      <c r="C327" s="6"/>
      <c r="D327" s="209" t="s">
        <v>392</v>
      </c>
      <c r="E327" s="210">
        <v>1.2</v>
      </c>
      <c r="F327" s="4"/>
      <c r="G327" s="331"/>
      <c r="H327" s="9"/>
      <c r="I327" s="17"/>
      <c r="K327" s="11"/>
    </row>
    <row r="328" spans="1:11" ht="12.75">
      <c r="A328" s="188"/>
      <c r="B328" s="5"/>
      <c r="C328" s="6"/>
      <c r="D328" s="209" t="s">
        <v>393</v>
      </c>
      <c r="E328" s="210">
        <v>2.3</v>
      </c>
      <c r="F328" s="4"/>
      <c r="G328" s="340"/>
      <c r="H328" s="9"/>
      <c r="I328" s="17"/>
      <c r="K328" s="11"/>
    </row>
    <row r="329" spans="1:11" ht="12.75">
      <c r="A329" s="188">
        <f>A323+1</f>
        <v>133</v>
      </c>
      <c r="B329" s="5">
        <v>24551542</v>
      </c>
      <c r="C329" s="217" t="s">
        <v>520</v>
      </c>
      <c r="D329" s="218" t="s">
        <v>394</v>
      </c>
      <c r="E329" s="219" t="s">
        <v>6</v>
      </c>
      <c r="F329" s="12">
        <f>(0.01*4+0.02*9.7+0.02*19.2+0.01*1.2+0.01*2.3)*1600/1000</f>
        <v>1.0448</v>
      </c>
      <c r="G329" s="333"/>
      <c r="H329" s="9">
        <f>F329*G329</f>
        <v>0</v>
      </c>
      <c r="I329" s="32" t="s">
        <v>618</v>
      </c>
      <c r="J329" s="195"/>
      <c r="K329" s="11"/>
    </row>
    <row r="330" spans="1:9" ht="12.75">
      <c r="A330" s="188">
        <f aca="true" t="shared" si="25" ref="A330:A337">A329+1</f>
        <v>134</v>
      </c>
      <c r="B330" s="5" t="s">
        <v>16</v>
      </c>
      <c r="C330" s="190" t="s">
        <v>172</v>
      </c>
      <c r="D330" s="184" t="s">
        <v>718</v>
      </c>
      <c r="E330" s="185" t="s">
        <v>2</v>
      </c>
      <c r="F330" s="2">
        <f>4+9.7+19.2+1.2+2.3</f>
        <v>36.4</v>
      </c>
      <c r="G330" s="331"/>
      <c r="H330" s="186">
        <f>F330*G330</f>
        <v>0</v>
      </c>
      <c r="I330" s="17" t="s">
        <v>618</v>
      </c>
    </row>
    <row r="331" spans="1:11" ht="16.5">
      <c r="A331" s="188">
        <f t="shared" si="25"/>
        <v>135</v>
      </c>
      <c r="B331" s="5">
        <v>28375705</v>
      </c>
      <c r="C331" s="217" t="s">
        <v>395</v>
      </c>
      <c r="D331" s="218" t="s">
        <v>171</v>
      </c>
      <c r="E331" s="219" t="s">
        <v>657</v>
      </c>
      <c r="F331" s="12">
        <f>+(F330*1.1)*0.02</f>
        <v>0.8008</v>
      </c>
      <c r="G331" s="333"/>
      <c r="H331" s="9">
        <f>F331*G331</f>
        <v>0</v>
      </c>
      <c r="I331" s="32" t="s">
        <v>618</v>
      </c>
      <c r="J331" s="244"/>
      <c r="K331" s="221" t="s">
        <v>717</v>
      </c>
    </row>
    <row r="332" spans="1:9" ht="25.5">
      <c r="A332" s="188">
        <f t="shared" si="25"/>
        <v>136</v>
      </c>
      <c r="B332" s="5" t="s">
        <v>17</v>
      </c>
      <c r="C332" s="190" t="s">
        <v>172</v>
      </c>
      <c r="D332" s="184" t="s">
        <v>719</v>
      </c>
      <c r="E332" s="185" t="s">
        <v>2</v>
      </c>
      <c r="F332" s="2">
        <f>4+9.7+19.2+1.2+2.3</f>
        <v>36.4</v>
      </c>
      <c r="G332" s="331"/>
      <c r="H332" s="186">
        <f aca="true" t="shared" si="26" ref="H332:H340">F332*G332</f>
        <v>0</v>
      </c>
      <c r="I332" s="17" t="s">
        <v>618</v>
      </c>
    </row>
    <row r="333" spans="1:9" ht="25.5">
      <c r="A333" s="188">
        <f t="shared" si="25"/>
        <v>137</v>
      </c>
      <c r="B333" s="5" t="s">
        <v>191</v>
      </c>
      <c r="C333" s="190" t="s">
        <v>172</v>
      </c>
      <c r="D333" s="14" t="s">
        <v>18</v>
      </c>
      <c r="E333" s="185"/>
      <c r="F333" s="2">
        <f>+F330</f>
        <v>36.4</v>
      </c>
      <c r="G333" s="331"/>
      <c r="H333" s="186">
        <f t="shared" si="26"/>
        <v>0</v>
      </c>
      <c r="I333" s="17" t="s">
        <v>618</v>
      </c>
    </row>
    <row r="334" spans="1:9" ht="12.75">
      <c r="A334" s="188">
        <f t="shared" si="25"/>
        <v>138</v>
      </c>
      <c r="B334" s="5" t="s">
        <v>20</v>
      </c>
      <c r="C334" s="190" t="s">
        <v>172</v>
      </c>
      <c r="D334" s="14" t="s">
        <v>19</v>
      </c>
      <c r="E334" s="185" t="s">
        <v>2</v>
      </c>
      <c r="F334" s="2">
        <f>+F333</f>
        <v>36.4</v>
      </c>
      <c r="G334" s="332"/>
      <c r="H334" s="186">
        <f t="shared" si="26"/>
        <v>0</v>
      </c>
      <c r="I334" s="94" t="s">
        <v>618</v>
      </c>
    </row>
    <row r="335" spans="1:9" ht="12.75">
      <c r="A335" s="188">
        <f t="shared" si="25"/>
        <v>139</v>
      </c>
      <c r="B335" s="5" t="s">
        <v>770</v>
      </c>
      <c r="C335" s="190" t="s">
        <v>172</v>
      </c>
      <c r="D335" s="184" t="s">
        <v>769</v>
      </c>
      <c r="E335" s="185" t="s">
        <v>2</v>
      </c>
      <c r="F335" s="2">
        <f>+F334</f>
        <v>36.4</v>
      </c>
      <c r="G335" s="332"/>
      <c r="H335" s="186">
        <f t="shared" si="26"/>
        <v>0</v>
      </c>
      <c r="I335" s="94" t="s">
        <v>618</v>
      </c>
    </row>
    <row r="336" spans="1:9" ht="12.75">
      <c r="A336" s="181">
        <f t="shared" si="25"/>
        <v>140</v>
      </c>
      <c r="B336" s="5" t="s">
        <v>21</v>
      </c>
      <c r="C336" s="190" t="s">
        <v>172</v>
      </c>
      <c r="D336" s="14" t="s">
        <v>22</v>
      </c>
      <c r="E336" s="8" t="s">
        <v>2</v>
      </c>
      <c r="F336" s="2">
        <f>+F335</f>
        <v>36.4</v>
      </c>
      <c r="G336" s="331"/>
      <c r="H336" s="186">
        <f t="shared" si="26"/>
        <v>0</v>
      </c>
      <c r="I336" s="94" t="s">
        <v>618</v>
      </c>
    </row>
    <row r="337" spans="1:9" ht="25.5">
      <c r="A337" s="181">
        <f t="shared" si="25"/>
        <v>141</v>
      </c>
      <c r="B337" s="189" t="s">
        <v>842</v>
      </c>
      <c r="C337" s="183" t="s">
        <v>169</v>
      </c>
      <c r="D337" s="184" t="s">
        <v>771</v>
      </c>
      <c r="E337" s="185" t="s">
        <v>2</v>
      </c>
      <c r="F337" s="2">
        <f>1.2+2.3</f>
        <v>3.5</v>
      </c>
      <c r="G337" s="331"/>
      <c r="H337" s="186">
        <f t="shared" si="26"/>
        <v>0</v>
      </c>
      <c r="I337" s="94" t="s">
        <v>618</v>
      </c>
    </row>
    <row r="338" spans="1:9" ht="27">
      <c r="A338" s="181">
        <f aca="true" t="shared" si="27" ref="A338:A346">A337+1</f>
        <v>142</v>
      </c>
      <c r="B338" s="182" t="s">
        <v>109</v>
      </c>
      <c r="C338" s="222" t="s">
        <v>170</v>
      </c>
      <c r="D338" s="223" t="s">
        <v>794</v>
      </c>
      <c r="E338" s="224" t="s">
        <v>523</v>
      </c>
      <c r="F338" s="3">
        <f>1.5*F337</f>
        <v>5.25</v>
      </c>
      <c r="G338" s="333"/>
      <c r="H338" s="225">
        <f t="shared" si="26"/>
        <v>0</v>
      </c>
      <c r="I338" s="94" t="s">
        <v>618</v>
      </c>
    </row>
    <row r="339" spans="1:18" ht="12.75">
      <c r="A339" s="181">
        <f t="shared" si="27"/>
        <v>143</v>
      </c>
      <c r="B339" s="189" t="s">
        <v>823</v>
      </c>
      <c r="C339" s="183" t="s">
        <v>169</v>
      </c>
      <c r="D339" s="184" t="s">
        <v>765</v>
      </c>
      <c r="E339" s="185" t="s">
        <v>5</v>
      </c>
      <c r="F339" s="2">
        <f>F340</f>
        <v>6.7749999999999995</v>
      </c>
      <c r="G339" s="331"/>
      <c r="H339" s="186">
        <f t="shared" si="26"/>
        <v>0</v>
      </c>
      <c r="I339" s="17" t="s">
        <v>618</v>
      </c>
      <c r="K339" s="26"/>
      <c r="O339" s="78"/>
      <c r="R339" s="30"/>
    </row>
    <row r="340" spans="1:9" ht="25.5">
      <c r="A340" s="181">
        <f t="shared" si="27"/>
        <v>144</v>
      </c>
      <c r="B340" s="189">
        <v>28355360</v>
      </c>
      <c r="C340" s="222" t="s">
        <v>170</v>
      </c>
      <c r="D340" s="223" t="s">
        <v>628</v>
      </c>
      <c r="E340" s="224" t="s">
        <v>5</v>
      </c>
      <c r="F340" s="12">
        <f>+(3.79-0.735+4.52-0.8)</f>
        <v>6.7749999999999995</v>
      </c>
      <c r="G340" s="333"/>
      <c r="H340" s="225">
        <f t="shared" si="26"/>
        <v>0</v>
      </c>
      <c r="I340" s="94" t="s">
        <v>618</v>
      </c>
    </row>
    <row r="341" spans="1:10" ht="25.5">
      <c r="A341" s="181">
        <f t="shared" si="27"/>
        <v>145</v>
      </c>
      <c r="B341" s="182" t="s">
        <v>254</v>
      </c>
      <c r="C341" s="183" t="s">
        <v>623</v>
      </c>
      <c r="D341" s="14" t="s">
        <v>396</v>
      </c>
      <c r="E341" s="185" t="s">
        <v>2</v>
      </c>
      <c r="F341" s="2">
        <f>4+1.2+2.3</f>
        <v>7.5</v>
      </c>
      <c r="G341" s="331"/>
      <c r="H341" s="186">
        <f aca="true" t="shared" si="28" ref="H341:H346">F341*G341</f>
        <v>0</v>
      </c>
      <c r="I341" s="94" t="s">
        <v>618</v>
      </c>
      <c r="J341" s="195"/>
    </row>
    <row r="342" spans="1:11" ht="25.5">
      <c r="A342" s="181">
        <f t="shared" si="27"/>
        <v>146</v>
      </c>
      <c r="B342" s="182" t="s">
        <v>116</v>
      </c>
      <c r="C342" s="222" t="s">
        <v>33</v>
      </c>
      <c r="D342" s="218" t="s">
        <v>397</v>
      </c>
      <c r="E342" s="224" t="s">
        <v>2</v>
      </c>
      <c r="F342" s="12">
        <f>1.1*F341</f>
        <v>8.25</v>
      </c>
      <c r="G342" s="333"/>
      <c r="H342" s="225">
        <f t="shared" si="28"/>
        <v>0</v>
      </c>
      <c r="I342" s="94" t="s">
        <v>618</v>
      </c>
      <c r="J342" s="244"/>
      <c r="K342" s="221" t="s">
        <v>398</v>
      </c>
    </row>
    <row r="343" spans="1:11" ht="25.5">
      <c r="A343" s="181">
        <f t="shared" si="27"/>
        <v>147</v>
      </c>
      <c r="B343" s="189" t="s">
        <v>843</v>
      </c>
      <c r="C343" s="183" t="s">
        <v>560</v>
      </c>
      <c r="D343" s="14" t="s">
        <v>786</v>
      </c>
      <c r="E343" s="185" t="s">
        <v>5</v>
      </c>
      <c r="F343" s="4">
        <f>8.54-0.9-0.8-0.96</f>
        <v>5.879999999999999</v>
      </c>
      <c r="G343" s="331"/>
      <c r="H343" s="186">
        <f t="shared" si="28"/>
        <v>0</v>
      </c>
      <c r="I343" s="94" t="s">
        <v>618</v>
      </c>
      <c r="K343" s="249"/>
    </row>
    <row r="344" spans="1:9" ht="25.5">
      <c r="A344" s="181">
        <f t="shared" si="27"/>
        <v>148</v>
      </c>
      <c r="B344" s="182" t="s">
        <v>117</v>
      </c>
      <c r="C344" s="222" t="s">
        <v>559</v>
      </c>
      <c r="D344" s="223" t="s">
        <v>787</v>
      </c>
      <c r="E344" s="224" t="s">
        <v>5</v>
      </c>
      <c r="F344" s="3">
        <f>1.1*F343</f>
        <v>6.467999999999999</v>
      </c>
      <c r="G344" s="333"/>
      <c r="H344" s="225">
        <f t="shared" si="28"/>
        <v>0</v>
      </c>
      <c r="I344" s="94" t="s">
        <v>618</v>
      </c>
    </row>
    <row r="345" spans="1:9" ht="25.5">
      <c r="A345" s="181">
        <f t="shared" si="27"/>
        <v>149</v>
      </c>
      <c r="B345" s="182" t="s">
        <v>118</v>
      </c>
      <c r="C345" s="183" t="s">
        <v>527</v>
      </c>
      <c r="D345" s="184" t="s">
        <v>766</v>
      </c>
      <c r="E345" s="185" t="s">
        <v>1</v>
      </c>
      <c r="F345" s="2">
        <v>1</v>
      </c>
      <c r="G345" s="331"/>
      <c r="H345" s="186">
        <f t="shared" si="28"/>
        <v>0</v>
      </c>
      <c r="I345" s="94" t="s">
        <v>618</v>
      </c>
    </row>
    <row r="346" spans="1:9" ht="13.5" thickBot="1">
      <c r="A346" s="181">
        <f t="shared" si="27"/>
        <v>150</v>
      </c>
      <c r="B346" s="182" t="s">
        <v>64</v>
      </c>
      <c r="C346" s="183"/>
      <c r="D346" s="184" t="s">
        <v>536</v>
      </c>
      <c r="E346" s="235" t="s">
        <v>10</v>
      </c>
      <c r="F346" s="2">
        <f>+H329++H331+H332+H336+H338+H340+H342+H344+H345</f>
        <v>0</v>
      </c>
      <c r="G346" s="335"/>
      <c r="H346" s="236">
        <f t="shared" si="28"/>
        <v>0</v>
      </c>
      <c r="I346" s="94" t="s">
        <v>618</v>
      </c>
    </row>
    <row r="347" spans="1:8" ht="13.5" thickBot="1">
      <c r="A347" s="181"/>
      <c r="B347" s="189"/>
      <c r="C347" s="183"/>
      <c r="D347" s="162" t="s">
        <v>3</v>
      </c>
      <c r="E347" s="163"/>
      <c r="F347" s="227"/>
      <c r="G347" s="228"/>
      <c r="H347" s="203">
        <f>SUBTOTAL(9,H323:H346)</f>
        <v>0</v>
      </c>
    </row>
    <row r="348" spans="1:9" ht="12.75">
      <c r="A348" s="181"/>
      <c r="B348" s="189"/>
      <c r="C348" s="183"/>
      <c r="D348" s="204"/>
      <c r="E348" s="168"/>
      <c r="F348" s="68"/>
      <c r="G348" s="110"/>
      <c r="H348" s="205"/>
      <c r="I348" s="94"/>
    </row>
    <row r="349" spans="1:9" ht="16.5">
      <c r="A349" s="181"/>
      <c r="B349" s="189"/>
      <c r="C349" s="207" t="s">
        <v>534</v>
      </c>
      <c r="D349" s="146" t="s">
        <v>652</v>
      </c>
      <c r="E349" s="146"/>
      <c r="F349" s="206"/>
      <c r="G349" s="146"/>
      <c r="H349" s="146"/>
      <c r="I349" s="94"/>
    </row>
    <row r="350" spans="1:9" ht="77.25" customHeight="1">
      <c r="A350" s="181"/>
      <c r="B350" s="189"/>
      <c r="C350" s="176"/>
      <c r="D350" s="310" t="s">
        <v>553</v>
      </c>
      <c r="E350" s="310"/>
      <c r="F350" s="310"/>
      <c r="G350" s="250"/>
      <c r="H350" s="250"/>
      <c r="I350" s="94"/>
    </row>
    <row r="351" spans="1:10" s="11" customFormat="1" ht="12.75">
      <c r="A351" s="188">
        <f>A346+1</f>
        <v>151</v>
      </c>
      <c r="B351" s="5" t="s">
        <v>215</v>
      </c>
      <c r="C351" s="16" t="s">
        <v>216</v>
      </c>
      <c r="D351" s="14" t="s">
        <v>217</v>
      </c>
      <c r="E351" s="14" t="s">
        <v>2</v>
      </c>
      <c r="F351" s="2">
        <f>(19+9.66)</f>
        <v>28.66</v>
      </c>
      <c r="G351" s="331"/>
      <c r="H351" s="9">
        <f aca="true" t="shared" si="29" ref="H351:H358">F351*G351</f>
        <v>0</v>
      </c>
      <c r="I351" s="32" t="s">
        <v>618</v>
      </c>
      <c r="J351" s="10"/>
    </row>
    <row r="352" spans="1:10" s="11" customFormat="1" ht="12.75">
      <c r="A352" s="188">
        <f aca="true" t="shared" si="30" ref="A352:A358">A351+1</f>
        <v>152</v>
      </c>
      <c r="B352" s="5" t="s">
        <v>218</v>
      </c>
      <c r="C352" s="16" t="s">
        <v>216</v>
      </c>
      <c r="D352" s="14" t="s">
        <v>219</v>
      </c>
      <c r="E352" s="14" t="s">
        <v>2</v>
      </c>
      <c r="F352" s="2">
        <f>+F351</f>
        <v>28.66</v>
      </c>
      <c r="G352" s="331"/>
      <c r="H352" s="9">
        <f t="shared" si="29"/>
        <v>0</v>
      </c>
      <c r="I352" s="32" t="s">
        <v>618</v>
      </c>
      <c r="J352" s="10"/>
    </row>
    <row r="353" spans="1:10" s="11" customFormat="1" ht="25.5">
      <c r="A353" s="188">
        <f t="shared" si="30"/>
        <v>153</v>
      </c>
      <c r="B353" s="5" t="s">
        <v>220</v>
      </c>
      <c r="C353" s="16" t="s">
        <v>216</v>
      </c>
      <c r="D353" s="218" t="s">
        <v>221</v>
      </c>
      <c r="E353" s="219" t="s">
        <v>2</v>
      </c>
      <c r="F353" s="3">
        <f>1.1*F352</f>
        <v>31.526000000000003</v>
      </c>
      <c r="G353" s="333"/>
      <c r="H353" s="220">
        <f t="shared" si="29"/>
        <v>0</v>
      </c>
      <c r="I353" s="32" t="s">
        <v>618</v>
      </c>
      <c r="J353" s="10"/>
    </row>
    <row r="354" spans="1:10" s="11" customFormat="1" ht="12.75">
      <c r="A354" s="188">
        <f t="shared" si="30"/>
        <v>154</v>
      </c>
      <c r="B354" s="251" t="s">
        <v>222</v>
      </c>
      <c r="C354" s="16" t="s">
        <v>223</v>
      </c>
      <c r="D354" s="14" t="s">
        <v>224</v>
      </c>
      <c r="E354" s="8" t="s">
        <v>5</v>
      </c>
      <c r="F354" s="20">
        <f>19-0.9+9.66-2*0.9-0.74</f>
        <v>25.220000000000002</v>
      </c>
      <c r="G354" s="332"/>
      <c r="H354" s="9">
        <f t="shared" si="29"/>
        <v>0</v>
      </c>
      <c r="I354" s="139" t="s">
        <v>618</v>
      </c>
      <c r="J354" s="10"/>
    </row>
    <row r="355" spans="1:10" s="11" customFormat="1" ht="12.75">
      <c r="A355" s="188">
        <f t="shared" si="30"/>
        <v>155</v>
      </c>
      <c r="B355" s="252" t="s">
        <v>225</v>
      </c>
      <c r="C355" s="217" t="s">
        <v>226</v>
      </c>
      <c r="D355" s="218" t="s">
        <v>227</v>
      </c>
      <c r="E355" s="219" t="s">
        <v>5</v>
      </c>
      <c r="F355" s="21">
        <f>1.1*F354</f>
        <v>27.742000000000004</v>
      </c>
      <c r="G355" s="339"/>
      <c r="H355" s="220">
        <f t="shared" si="29"/>
        <v>0</v>
      </c>
      <c r="I355" s="139" t="s">
        <v>618</v>
      </c>
      <c r="J355" s="10"/>
    </row>
    <row r="356" spans="1:10" ht="12.75">
      <c r="A356" s="188">
        <f t="shared" si="30"/>
        <v>156</v>
      </c>
      <c r="B356" s="189" t="s">
        <v>721</v>
      </c>
      <c r="C356" s="183" t="s">
        <v>845</v>
      </c>
      <c r="D356" s="184" t="s">
        <v>844</v>
      </c>
      <c r="E356" s="185" t="s">
        <v>5</v>
      </c>
      <c r="F356" s="2">
        <f>0.8+0.74</f>
        <v>1.54</v>
      </c>
      <c r="G356" s="331"/>
      <c r="H356" s="186">
        <f t="shared" si="29"/>
        <v>0</v>
      </c>
      <c r="I356" s="94" t="s">
        <v>618</v>
      </c>
      <c r="J356" s="26"/>
    </row>
    <row r="357" spans="1:11" ht="16.5">
      <c r="A357" s="181">
        <f t="shared" si="30"/>
        <v>157</v>
      </c>
      <c r="B357" s="182" t="s">
        <v>119</v>
      </c>
      <c r="C357" s="222" t="s">
        <v>846</v>
      </c>
      <c r="D357" s="223" t="s">
        <v>722</v>
      </c>
      <c r="E357" s="224" t="s">
        <v>5</v>
      </c>
      <c r="F357" s="3">
        <f>+F356</f>
        <v>1.54</v>
      </c>
      <c r="G357" s="339"/>
      <c r="H357" s="225">
        <f t="shared" si="29"/>
        <v>0</v>
      </c>
      <c r="I357" s="139" t="s">
        <v>618</v>
      </c>
      <c r="J357" s="26"/>
      <c r="K357" s="221" t="s">
        <v>723</v>
      </c>
    </row>
    <row r="358" spans="1:9" ht="13.5" thickBot="1">
      <c r="A358" s="181">
        <f t="shared" si="30"/>
        <v>158</v>
      </c>
      <c r="B358" s="182" t="s">
        <v>64</v>
      </c>
      <c r="C358" s="183"/>
      <c r="D358" s="184" t="s">
        <v>536</v>
      </c>
      <c r="E358" s="235" t="s">
        <v>10</v>
      </c>
      <c r="F358" s="2">
        <f>+H353+H355+H357</f>
        <v>0</v>
      </c>
      <c r="G358" s="335"/>
      <c r="H358" s="236">
        <f t="shared" si="29"/>
        <v>0</v>
      </c>
      <c r="I358" s="94" t="s">
        <v>618</v>
      </c>
    </row>
    <row r="359" spans="3:8" ht="13.5" thickBot="1">
      <c r="C359" s="183"/>
      <c r="D359" s="162" t="s">
        <v>3</v>
      </c>
      <c r="E359" s="163"/>
      <c r="F359" s="227"/>
      <c r="G359" s="228"/>
      <c r="H359" s="203">
        <f>SUM(H351:H358)</f>
        <v>0</v>
      </c>
    </row>
    <row r="360" spans="1:9" ht="12.75">
      <c r="A360" s="181"/>
      <c r="B360" s="189"/>
      <c r="C360" s="183"/>
      <c r="D360" s="204"/>
      <c r="E360" s="168"/>
      <c r="F360" s="68"/>
      <c r="G360" s="110"/>
      <c r="H360" s="205"/>
      <c r="I360" s="94"/>
    </row>
    <row r="361" spans="1:9" ht="16.5">
      <c r="A361" s="181"/>
      <c r="B361" s="189"/>
      <c r="C361" s="207" t="s">
        <v>772</v>
      </c>
      <c r="D361" s="146" t="s">
        <v>773</v>
      </c>
      <c r="E361" s="146"/>
      <c r="F361" s="206"/>
      <c r="G361" s="146"/>
      <c r="H361" s="146"/>
      <c r="I361" s="94"/>
    </row>
    <row r="362" spans="1:18" ht="12.75">
      <c r="A362" s="181">
        <f>A358+1</f>
        <v>159</v>
      </c>
      <c r="B362" s="182" t="s">
        <v>795</v>
      </c>
      <c r="C362" s="183"/>
      <c r="D362" s="184" t="s">
        <v>563</v>
      </c>
      <c r="E362" s="185" t="s">
        <v>4</v>
      </c>
      <c r="F362" s="2">
        <v>2</v>
      </c>
      <c r="G362" s="331"/>
      <c r="H362" s="186">
        <f>F362*G362</f>
        <v>0</v>
      </c>
      <c r="I362" s="94" t="s">
        <v>618</v>
      </c>
      <c r="N362" s="78"/>
      <c r="Q362" s="192">
        <v>0.00156</v>
      </c>
      <c r="R362" s="11"/>
    </row>
    <row r="363" spans="1:18" ht="12.75">
      <c r="A363" s="181">
        <f aca="true" t="shared" si="31" ref="A363:A369">A362+1</f>
        <v>160</v>
      </c>
      <c r="B363" s="187" t="s">
        <v>399</v>
      </c>
      <c r="C363" s="16"/>
      <c r="D363" s="14" t="s">
        <v>400</v>
      </c>
      <c r="E363" s="8" t="s">
        <v>4</v>
      </c>
      <c r="F363" s="4">
        <v>2</v>
      </c>
      <c r="G363" s="331"/>
      <c r="H363" s="9">
        <f>F363*G363</f>
        <v>0</v>
      </c>
      <c r="I363" s="32" t="s">
        <v>618</v>
      </c>
      <c r="N363" s="78"/>
      <c r="Q363" s="192"/>
      <c r="R363" s="11"/>
    </row>
    <row r="364" spans="1:18" ht="12.75">
      <c r="A364" s="181">
        <f t="shared" si="31"/>
        <v>161</v>
      </c>
      <c r="B364" s="182" t="s">
        <v>42</v>
      </c>
      <c r="C364" s="183"/>
      <c r="D364" s="184" t="s">
        <v>43</v>
      </c>
      <c r="E364" s="185" t="s">
        <v>1</v>
      </c>
      <c r="F364" s="2">
        <v>1</v>
      </c>
      <c r="G364" s="331"/>
      <c r="H364" s="186">
        <f aca="true" t="shared" si="32" ref="H364:H375">F364*G364</f>
        <v>0</v>
      </c>
      <c r="I364" s="94" t="s">
        <v>618</v>
      </c>
      <c r="N364" s="78"/>
      <c r="Q364" s="192">
        <f>0.002*F364</f>
        <v>0.002</v>
      </c>
      <c r="R364" s="11" t="s">
        <v>6</v>
      </c>
    </row>
    <row r="365" spans="1:18" ht="12.75">
      <c r="A365" s="181">
        <f t="shared" si="31"/>
        <v>162</v>
      </c>
      <c r="B365" s="182" t="s">
        <v>774</v>
      </c>
      <c r="C365" s="183"/>
      <c r="D365" s="184" t="s">
        <v>661</v>
      </c>
      <c r="E365" s="185" t="s">
        <v>1</v>
      </c>
      <c r="F365" s="2">
        <v>1</v>
      </c>
      <c r="G365" s="331"/>
      <c r="H365" s="186">
        <f t="shared" si="32"/>
        <v>0</v>
      </c>
      <c r="I365" s="94" t="s">
        <v>618</v>
      </c>
      <c r="N365" s="78"/>
      <c r="Q365" s="192">
        <v>0.01933</v>
      </c>
      <c r="R365" s="11"/>
    </row>
    <row r="366" spans="1:18" ht="12.75">
      <c r="A366" s="181">
        <f t="shared" si="31"/>
        <v>163</v>
      </c>
      <c r="B366" s="187" t="s">
        <v>401</v>
      </c>
      <c r="C366" s="16"/>
      <c r="D366" s="14" t="s">
        <v>402</v>
      </c>
      <c r="E366" s="8" t="s">
        <v>4</v>
      </c>
      <c r="F366" s="4">
        <v>1</v>
      </c>
      <c r="G366" s="331"/>
      <c r="H366" s="9">
        <f t="shared" si="32"/>
        <v>0</v>
      </c>
      <c r="I366" s="32" t="s">
        <v>618</v>
      </c>
      <c r="N366" s="78"/>
      <c r="Q366" s="192">
        <v>0.0329</v>
      </c>
      <c r="R366" s="11"/>
    </row>
    <row r="367" spans="1:18" ht="12.75">
      <c r="A367" s="181">
        <f t="shared" si="31"/>
        <v>164</v>
      </c>
      <c r="B367" s="187" t="s">
        <v>403</v>
      </c>
      <c r="C367" s="16"/>
      <c r="D367" s="14" t="s">
        <v>404</v>
      </c>
      <c r="E367" s="8" t="s">
        <v>1</v>
      </c>
      <c r="F367" s="4">
        <v>1</v>
      </c>
      <c r="G367" s="331"/>
      <c r="H367" s="9">
        <f t="shared" si="32"/>
        <v>0</v>
      </c>
      <c r="I367" s="32" t="s">
        <v>618</v>
      </c>
      <c r="N367" s="78"/>
      <c r="Q367" s="192"/>
      <c r="R367" s="11"/>
    </row>
    <row r="368" spans="1:18" ht="12.75">
      <c r="A368" s="181">
        <f t="shared" si="31"/>
        <v>165</v>
      </c>
      <c r="B368" s="189" t="s">
        <v>775</v>
      </c>
      <c r="C368" s="183"/>
      <c r="D368" s="184" t="s">
        <v>660</v>
      </c>
      <c r="E368" s="185" t="s">
        <v>4</v>
      </c>
      <c r="F368" s="2">
        <v>1</v>
      </c>
      <c r="G368" s="331"/>
      <c r="H368" s="186">
        <f t="shared" si="32"/>
        <v>0</v>
      </c>
      <c r="I368" s="94" t="s">
        <v>618</v>
      </c>
      <c r="N368" s="78"/>
      <c r="Q368" s="192"/>
      <c r="R368" s="11"/>
    </row>
    <row r="369" spans="1:18" ht="12.75">
      <c r="A369" s="181">
        <f t="shared" si="31"/>
        <v>166</v>
      </c>
      <c r="B369" s="189" t="s">
        <v>57</v>
      </c>
      <c r="C369" s="183"/>
      <c r="D369" s="184" t="s">
        <v>59</v>
      </c>
      <c r="E369" s="185" t="s">
        <v>6</v>
      </c>
      <c r="F369" s="2">
        <f>Q369</f>
        <v>0.05579</v>
      </c>
      <c r="G369" s="331"/>
      <c r="H369" s="186">
        <f>F369*G369</f>
        <v>0</v>
      </c>
      <c r="I369" s="94" t="s">
        <v>618</v>
      </c>
      <c r="N369" s="78"/>
      <c r="Q369" s="192">
        <f>SUM(Q362:Q368)</f>
        <v>0.05579</v>
      </c>
      <c r="R369" s="11"/>
    </row>
    <row r="370" spans="1:18" ht="12.75">
      <c r="A370" s="181">
        <f aca="true" t="shared" si="33" ref="A370:A375">A369+1</f>
        <v>167</v>
      </c>
      <c r="B370" s="189" t="s">
        <v>667</v>
      </c>
      <c r="C370" s="183"/>
      <c r="D370" s="184" t="s">
        <v>776</v>
      </c>
      <c r="E370" s="185" t="s">
        <v>6</v>
      </c>
      <c r="F370" s="2">
        <f>F369</f>
        <v>0.05579</v>
      </c>
      <c r="G370" s="331"/>
      <c r="H370" s="186">
        <f t="shared" si="32"/>
        <v>0</v>
      </c>
      <c r="I370" s="94" t="s">
        <v>618</v>
      </c>
      <c r="N370" s="78"/>
      <c r="Q370" s="192"/>
      <c r="R370" s="11"/>
    </row>
    <row r="371" spans="1:18" ht="12.75">
      <c r="A371" s="181">
        <f t="shared" si="33"/>
        <v>168</v>
      </c>
      <c r="B371" s="189" t="s">
        <v>55</v>
      </c>
      <c r="C371" s="183"/>
      <c r="D371" s="184" t="s">
        <v>56</v>
      </c>
      <c r="E371" s="185" t="s">
        <v>6</v>
      </c>
      <c r="F371" s="2">
        <f>+F370*2</f>
        <v>0.11158</v>
      </c>
      <c r="G371" s="331"/>
      <c r="H371" s="186">
        <f t="shared" si="32"/>
        <v>0</v>
      </c>
      <c r="I371" s="94" t="s">
        <v>618</v>
      </c>
      <c r="N371" s="78"/>
      <c r="Q371" s="192"/>
      <c r="R371" s="11"/>
    </row>
    <row r="372" spans="1:18" ht="12.75">
      <c r="A372" s="181">
        <f t="shared" si="33"/>
        <v>169</v>
      </c>
      <c r="B372" s="189" t="s">
        <v>668</v>
      </c>
      <c r="C372" s="183"/>
      <c r="D372" s="184" t="s">
        <v>669</v>
      </c>
      <c r="E372" s="185" t="s">
        <v>6</v>
      </c>
      <c r="F372" s="2">
        <f>+F369</f>
        <v>0.05579</v>
      </c>
      <c r="G372" s="332"/>
      <c r="H372" s="186">
        <f t="shared" si="32"/>
        <v>0</v>
      </c>
      <c r="I372" s="94" t="s">
        <v>618</v>
      </c>
      <c r="N372" s="78"/>
      <c r="Q372" s="192"/>
      <c r="R372" s="11"/>
    </row>
    <row r="373" spans="1:18" ht="12.75">
      <c r="A373" s="181">
        <f t="shared" si="33"/>
        <v>170</v>
      </c>
      <c r="B373" s="189" t="s">
        <v>670</v>
      </c>
      <c r="C373" s="183"/>
      <c r="D373" s="184" t="s">
        <v>671</v>
      </c>
      <c r="E373" s="185" t="s">
        <v>6</v>
      </c>
      <c r="F373" s="2">
        <f>+F369</f>
        <v>0.05579</v>
      </c>
      <c r="G373" s="331"/>
      <c r="H373" s="186">
        <f t="shared" si="32"/>
        <v>0</v>
      </c>
      <c r="I373" s="94" t="s">
        <v>618</v>
      </c>
      <c r="N373" s="78"/>
      <c r="Q373" s="192"/>
      <c r="R373" s="11"/>
    </row>
    <row r="374" spans="1:18" ht="12.75">
      <c r="A374" s="181">
        <f t="shared" si="33"/>
        <v>171</v>
      </c>
      <c r="B374" s="189" t="s">
        <v>62</v>
      </c>
      <c r="C374" s="183"/>
      <c r="D374" s="184" t="s">
        <v>63</v>
      </c>
      <c r="E374" s="185" t="s">
        <v>6</v>
      </c>
      <c r="F374" s="2">
        <f>+F369</f>
        <v>0.05579</v>
      </c>
      <c r="G374" s="331"/>
      <c r="H374" s="186">
        <f t="shared" si="32"/>
        <v>0</v>
      </c>
      <c r="I374" s="94" t="s">
        <v>618</v>
      </c>
      <c r="N374" s="78"/>
      <c r="Q374" s="192"/>
      <c r="R374" s="11"/>
    </row>
    <row r="375" spans="1:18" ht="13.5" thickBot="1">
      <c r="A375" s="181">
        <f t="shared" si="33"/>
        <v>172</v>
      </c>
      <c r="B375" s="182" t="s">
        <v>60</v>
      </c>
      <c r="C375" s="183"/>
      <c r="D375" s="184" t="s">
        <v>61</v>
      </c>
      <c r="E375" s="185" t="s">
        <v>6</v>
      </c>
      <c r="F375" s="2">
        <f>+F369</f>
        <v>0.05579</v>
      </c>
      <c r="G375" s="331"/>
      <c r="H375" s="186">
        <f t="shared" si="32"/>
        <v>0</v>
      </c>
      <c r="I375" s="94" t="s">
        <v>618</v>
      </c>
      <c r="N375" s="78"/>
      <c r="Q375" s="192"/>
      <c r="R375" s="11"/>
    </row>
    <row r="376" spans="1:18" ht="15.75" thickBot="1">
      <c r="A376" s="181"/>
      <c r="B376" s="189"/>
      <c r="C376" s="183"/>
      <c r="D376" s="253" t="s">
        <v>3</v>
      </c>
      <c r="E376" s="254"/>
      <c r="F376" s="255"/>
      <c r="G376" s="256"/>
      <c r="H376" s="257">
        <f>SUM(H362:H375)</f>
        <v>0</v>
      </c>
      <c r="I376" s="94"/>
      <c r="N376" s="78"/>
      <c r="Q376" s="192"/>
      <c r="R376" s="11"/>
    </row>
    <row r="377" spans="1:9" ht="12.75">
      <c r="A377" s="181"/>
      <c r="B377" s="189"/>
      <c r="C377" s="183"/>
      <c r="D377" s="204"/>
      <c r="E377" s="168"/>
      <c r="F377" s="68"/>
      <c r="G377" s="110"/>
      <c r="H377" s="205"/>
      <c r="I377" s="94"/>
    </row>
    <row r="378" spans="1:9" ht="16.5">
      <c r="A378" s="181"/>
      <c r="B378" s="189"/>
      <c r="C378" s="207" t="s">
        <v>777</v>
      </c>
      <c r="D378" s="146" t="s">
        <v>547</v>
      </c>
      <c r="E378" s="146"/>
      <c r="F378" s="206"/>
      <c r="G378" s="146"/>
      <c r="H378" s="146"/>
      <c r="I378" s="94"/>
    </row>
    <row r="379" spans="1:9" ht="79.5" customHeight="1">
      <c r="A379" s="181"/>
      <c r="B379" s="189"/>
      <c r="C379" s="176"/>
      <c r="D379" s="306" t="s">
        <v>853</v>
      </c>
      <c r="E379" s="306"/>
      <c r="F379" s="306"/>
      <c r="G379" s="230"/>
      <c r="H379" s="230"/>
      <c r="I379" s="94"/>
    </row>
    <row r="380" spans="1:9" ht="25.5">
      <c r="A380" s="181">
        <f>A375+1</f>
        <v>173</v>
      </c>
      <c r="B380" s="182" t="s">
        <v>174</v>
      </c>
      <c r="C380" s="183"/>
      <c r="D380" s="226" t="s">
        <v>814</v>
      </c>
      <c r="E380" s="185" t="s">
        <v>5</v>
      </c>
      <c r="F380" s="4">
        <f>2.9+0.4+0.4+0.5+2.8+2.8+0.4+2.4</f>
        <v>12.6</v>
      </c>
      <c r="G380" s="331"/>
      <c r="H380" s="186">
        <f>F380*G380</f>
        <v>0</v>
      </c>
      <c r="I380" s="94" t="s">
        <v>618</v>
      </c>
    </row>
    <row r="381" spans="1:9" ht="25.5">
      <c r="A381" s="181">
        <f>A380+1</f>
        <v>174</v>
      </c>
      <c r="B381" s="258" t="s">
        <v>175</v>
      </c>
      <c r="C381" s="183"/>
      <c r="D381" s="226" t="s">
        <v>815</v>
      </c>
      <c r="E381" s="185" t="s">
        <v>5</v>
      </c>
      <c r="F381" s="4">
        <v>2.1</v>
      </c>
      <c r="G381" s="331"/>
      <c r="H381" s="186">
        <f aca="true" t="shared" si="34" ref="H381:H392">F381*G381</f>
        <v>0</v>
      </c>
      <c r="I381" s="94" t="s">
        <v>618</v>
      </c>
    </row>
    <row r="382" spans="1:9" ht="25.5">
      <c r="A382" s="181">
        <f aca="true" t="shared" si="35" ref="A382:A390">A381+1</f>
        <v>175</v>
      </c>
      <c r="B382" s="194" t="s">
        <v>176</v>
      </c>
      <c r="C382" s="183"/>
      <c r="D382" s="259" t="s">
        <v>813</v>
      </c>
      <c r="E382" s="185" t="s">
        <v>5</v>
      </c>
      <c r="F382" s="2">
        <v>1</v>
      </c>
      <c r="G382" s="331"/>
      <c r="H382" s="186">
        <f>F382*G382</f>
        <v>0</v>
      </c>
      <c r="I382" s="94" t="s">
        <v>618</v>
      </c>
    </row>
    <row r="383" spans="1:9" ht="12.75">
      <c r="A383" s="181">
        <f t="shared" si="35"/>
        <v>176</v>
      </c>
      <c r="B383" s="189" t="s">
        <v>725</v>
      </c>
      <c r="C383" s="222" t="s">
        <v>520</v>
      </c>
      <c r="D383" s="223" t="s">
        <v>724</v>
      </c>
      <c r="E383" s="224" t="s">
        <v>4</v>
      </c>
      <c r="F383" s="12">
        <v>2</v>
      </c>
      <c r="G383" s="333"/>
      <c r="H383" s="225">
        <f>F383*G383</f>
        <v>0</v>
      </c>
      <c r="I383" s="94" t="s">
        <v>618</v>
      </c>
    </row>
    <row r="384" spans="1:9" ht="25.5">
      <c r="A384" s="181">
        <f t="shared" si="35"/>
        <v>177</v>
      </c>
      <c r="B384" s="260" t="s">
        <v>173</v>
      </c>
      <c r="C384" s="222" t="s">
        <v>520</v>
      </c>
      <c r="D384" s="223" t="s">
        <v>405</v>
      </c>
      <c r="E384" s="224" t="s">
        <v>4</v>
      </c>
      <c r="F384" s="12">
        <v>1</v>
      </c>
      <c r="G384" s="333"/>
      <c r="H384" s="225">
        <f t="shared" si="34"/>
        <v>0</v>
      </c>
      <c r="I384" s="94" t="s">
        <v>618</v>
      </c>
    </row>
    <row r="385" spans="1:9" ht="25.5">
      <c r="A385" s="181">
        <f t="shared" si="35"/>
        <v>178</v>
      </c>
      <c r="B385" s="182" t="s">
        <v>802</v>
      </c>
      <c r="C385" s="183"/>
      <c r="D385" s="226" t="s">
        <v>406</v>
      </c>
      <c r="E385" s="185" t="s">
        <v>4</v>
      </c>
      <c r="F385" s="2">
        <v>2</v>
      </c>
      <c r="G385" s="331"/>
      <c r="H385" s="186">
        <f t="shared" si="34"/>
        <v>0</v>
      </c>
      <c r="I385" s="94" t="s">
        <v>618</v>
      </c>
    </row>
    <row r="386" spans="1:9" ht="14.25" customHeight="1">
      <c r="A386" s="181">
        <f t="shared" si="35"/>
        <v>179</v>
      </c>
      <c r="B386" s="182" t="s">
        <v>803</v>
      </c>
      <c r="C386" s="183"/>
      <c r="D386" s="226" t="s">
        <v>804</v>
      </c>
      <c r="E386" s="185" t="s">
        <v>4</v>
      </c>
      <c r="F386" s="2">
        <v>1</v>
      </c>
      <c r="G386" s="331"/>
      <c r="H386" s="186">
        <f t="shared" si="34"/>
        <v>0</v>
      </c>
      <c r="I386" s="94" t="s">
        <v>618</v>
      </c>
    </row>
    <row r="387" spans="1:9" ht="12.75">
      <c r="A387" s="181">
        <f t="shared" si="35"/>
        <v>180</v>
      </c>
      <c r="B387" s="182" t="s">
        <v>805</v>
      </c>
      <c r="C387" s="183"/>
      <c r="D387" s="226" t="s">
        <v>34</v>
      </c>
      <c r="E387" s="185" t="s">
        <v>4</v>
      </c>
      <c r="F387" s="2">
        <v>1</v>
      </c>
      <c r="G387" s="331"/>
      <c r="H387" s="186">
        <f t="shared" si="34"/>
        <v>0</v>
      </c>
      <c r="I387" s="94" t="s">
        <v>618</v>
      </c>
    </row>
    <row r="388" spans="1:9" ht="12.75">
      <c r="A388" s="181">
        <f t="shared" si="35"/>
        <v>181</v>
      </c>
      <c r="B388" s="189" t="s">
        <v>785</v>
      </c>
      <c r="C388" s="183"/>
      <c r="D388" s="259" t="s">
        <v>784</v>
      </c>
      <c r="E388" s="185" t="s">
        <v>4</v>
      </c>
      <c r="F388" s="2">
        <v>1</v>
      </c>
      <c r="G388" s="331"/>
      <c r="H388" s="186">
        <f t="shared" si="34"/>
        <v>0</v>
      </c>
      <c r="I388" s="94" t="s">
        <v>618</v>
      </c>
    </row>
    <row r="389" spans="1:11" ht="38.25">
      <c r="A389" s="181">
        <f t="shared" si="35"/>
        <v>182</v>
      </c>
      <c r="B389" s="182" t="s">
        <v>178</v>
      </c>
      <c r="C389" s="183" t="s">
        <v>827</v>
      </c>
      <c r="D389" s="261" t="s">
        <v>407</v>
      </c>
      <c r="E389" s="185" t="s">
        <v>4</v>
      </c>
      <c r="F389" s="2">
        <v>1</v>
      </c>
      <c r="G389" s="331"/>
      <c r="H389" s="186">
        <f t="shared" si="34"/>
        <v>0</v>
      </c>
      <c r="I389" s="94" t="s">
        <v>621</v>
      </c>
      <c r="K389" s="221" t="s">
        <v>726</v>
      </c>
    </row>
    <row r="390" spans="1:11" ht="38.25">
      <c r="A390" s="181">
        <f t="shared" si="35"/>
        <v>183</v>
      </c>
      <c r="B390" s="194" t="s">
        <v>472</v>
      </c>
      <c r="C390" s="183"/>
      <c r="D390" s="261" t="s">
        <v>255</v>
      </c>
      <c r="E390" s="8" t="s">
        <v>4</v>
      </c>
      <c r="F390" s="4">
        <v>1</v>
      </c>
      <c r="G390" s="331"/>
      <c r="H390" s="9">
        <f t="shared" si="34"/>
        <v>0</v>
      </c>
      <c r="I390" s="17" t="s">
        <v>618</v>
      </c>
      <c r="J390" s="195"/>
      <c r="K390" s="221"/>
    </row>
    <row r="391" spans="1:9" ht="12.75">
      <c r="A391" s="181">
        <f>A390+1</f>
        <v>184</v>
      </c>
      <c r="B391" s="182" t="s">
        <v>177</v>
      </c>
      <c r="C391" s="183"/>
      <c r="D391" s="259" t="s">
        <v>557</v>
      </c>
      <c r="E391" s="185" t="s">
        <v>5</v>
      </c>
      <c r="F391" s="2">
        <f>+F380+F381+F382</f>
        <v>15.7</v>
      </c>
      <c r="G391" s="331"/>
      <c r="H391" s="186">
        <f t="shared" si="34"/>
        <v>0</v>
      </c>
      <c r="I391" s="94" t="s">
        <v>618</v>
      </c>
    </row>
    <row r="392" spans="1:9" ht="13.5" thickBot="1">
      <c r="A392" s="181">
        <f>A391+1</f>
        <v>185</v>
      </c>
      <c r="B392" s="182" t="s">
        <v>64</v>
      </c>
      <c r="C392" s="183"/>
      <c r="D392" s="184" t="s">
        <v>536</v>
      </c>
      <c r="E392" s="235" t="s">
        <v>10</v>
      </c>
      <c r="F392" s="2">
        <f>+H380+H381+H382+H383+H384+H389+H390</f>
        <v>0</v>
      </c>
      <c r="G392" s="335"/>
      <c r="H392" s="236">
        <f t="shared" si="34"/>
        <v>0</v>
      </c>
      <c r="I392" s="94" t="s">
        <v>618</v>
      </c>
    </row>
    <row r="393" spans="1:9" ht="13.5" thickBot="1">
      <c r="A393" s="181"/>
      <c r="B393" s="189"/>
      <c r="C393" s="183"/>
      <c r="D393" s="162" t="s">
        <v>3</v>
      </c>
      <c r="E393" s="163"/>
      <c r="F393" s="227"/>
      <c r="G393" s="228"/>
      <c r="H393" s="203">
        <f>SUBTOTAL(9,H380:H392)</f>
        <v>0</v>
      </c>
      <c r="I393" s="94"/>
    </row>
    <row r="394" spans="1:9" ht="12.75">
      <c r="A394" s="181"/>
      <c r="B394" s="189"/>
      <c r="C394" s="183"/>
      <c r="D394" s="204"/>
      <c r="E394" s="168"/>
      <c r="F394" s="68"/>
      <c r="G394" s="110"/>
      <c r="H394" s="205"/>
      <c r="I394" s="94"/>
    </row>
    <row r="395" spans="1:9" ht="16.5">
      <c r="A395" s="181"/>
      <c r="B395" s="189"/>
      <c r="C395" s="207" t="s">
        <v>778</v>
      </c>
      <c r="D395" s="146" t="s">
        <v>548</v>
      </c>
      <c r="E395" s="146"/>
      <c r="F395" s="206"/>
      <c r="G395" s="146"/>
      <c r="H395" s="146"/>
      <c r="I395" s="94"/>
    </row>
    <row r="396" spans="1:9" ht="77.25" customHeight="1">
      <c r="A396" s="181"/>
      <c r="B396" s="189"/>
      <c r="C396" s="176"/>
      <c r="D396" s="306" t="s">
        <v>793</v>
      </c>
      <c r="E396" s="306"/>
      <c r="F396" s="306"/>
      <c r="G396" s="230"/>
      <c r="H396" s="230"/>
      <c r="I396" s="94"/>
    </row>
    <row r="397" spans="1:9" ht="12.75">
      <c r="A397" s="188">
        <f>A392+1</f>
        <v>186</v>
      </c>
      <c r="B397" s="214" t="s">
        <v>828</v>
      </c>
      <c r="C397" s="190"/>
      <c r="D397" s="262" t="s">
        <v>798</v>
      </c>
      <c r="E397" s="185" t="s">
        <v>5</v>
      </c>
      <c r="F397" s="4">
        <f>0.3+4.9+2.2+1+0.5+0.5+1+2.2+0.3+1.8+4.9+2.2+1+0.5+1</f>
        <v>24.3</v>
      </c>
      <c r="G397" s="331"/>
      <c r="H397" s="186">
        <f>F397*G397</f>
        <v>0</v>
      </c>
      <c r="I397" s="94" t="s">
        <v>618</v>
      </c>
    </row>
    <row r="398" spans="1:9" ht="12.75">
      <c r="A398" s="188">
        <f>A397+1</f>
        <v>187</v>
      </c>
      <c r="B398" s="5" t="s">
        <v>23</v>
      </c>
      <c r="C398" s="190"/>
      <c r="D398" s="261" t="s">
        <v>11</v>
      </c>
      <c r="E398" s="185" t="s">
        <v>5</v>
      </c>
      <c r="F398" s="4">
        <f>3.49+1.4+0.5</f>
        <v>5.390000000000001</v>
      </c>
      <c r="G398" s="331"/>
      <c r="H398" s="186">
        <f>F398*G398</f>
        <v>0</v>
      </c>
      <c r="I398" s="94" t="s">
        <v>618</v>
      </c>
    </row>
    <row r="399" spans="1:9" ht="12.75">
      <c r="A399" s="188">
        <f>A398+1</f>
        <v>188</v>
      </c>
      <c r="B399" s="13" t="s">
        <v>269</v>
      </c>
      <c r="C399" s="190"/>
      <c r="D399" s="259" t="s">
        <v>616</v>
      </c>
      <c r="E399" s="185" t="s">
        <v>5</v>
      </c>
      <c r="F399" s="4">
        <f>+F397+F398</f>
        <v>29.69</v>
      </c>
      <c r="G399" s="331"/>
      <c r="H399" s="186">
        <f aca="true" t="shared" si="36" ref="H399:H410">F399*G399</f>
        <v>0</v>
      </c>
      <c r="I399" s="94" t="s">
        <v>618</v>
      </c>
    </row>
    <row r="400" spans="1:9" ht="12.75">
      <c r="A400" s="188">
        <f>A399+1</f>
        <v>189</v>
      </c>
      <c r="B400" s="13" t="s">
        <v>270</v>
      </c>
      <c r="C400" s="190"/>
      <c r="D400" s="259" t="s">
        <v>615</v>
      </c>
      <c r="E400" s="185" t="s">
        <v>5</v>
      </c>
      <c r="F400" s="4">
        <f>4.9+2.2+1+0.5+1</f>
        <v>9.600000000000001</v>
      </c>
      <c r="G400" s="331"/>
      <c r="H400" s="186">
        <f t="shared" si="36"/>
        <v>0</v>
      </c>
      <c r="I400" s="94" t="s">
        <v>618</v>
      </c>
    </row>
    <row r="401" spans="1:10" s="11" customFormat="1" ht="12.75">
      <c r="A401" s="188">
        <f>A400+1</f>
        <v>190</v>
      </c>
      <c r="B401" s="5" t="s">
        <v>273</v>
      </c>
      <c r="C401" s="6"/>
      <c r="D401" s="7" t="s">
        <v>274</v>
      </c>
      <c r="E401" s="8" t="s">
        <v>4</v>
      </c>
      <c r="F401" s="4">
        <f>+F402+F403</f>
        <v>5</v>
      </c>
      <c r="G401" s="331"/>
      <c r="H401" s="9">
        <f t="shared" si="36"/>
        <v>0</v>
      </c>
      <c r="I401" s="32" t="s">
        <v>618</v>
      </c>
      <c r="J401" s="10"/>
    </row>
    <row r="402" spans="1:9" ht="25.5">
      <c r="A402" s="188">
        <f aca="true" t="shared" si="37" ref="A402:A407">A401+1</f>
        <v>191</v>
      </c>
      <c r="B402" s="5" t="s">
        <v>272</v>
      </c>
      <c r="C402" s="190"/>
      <c r="D402" s="261" t="s">
        <v>656</v>
      </c>
      <c r="E402" s="8" t="s">
        <v>4</v>
      </c>
      <c r="F402" s="4">
        <v>3</v>
      </c>
      <c r="G402" s="331"/>
      <c r="H402" s="9">
        <f t="shared" si="36"/>
        <v>0</v>
      </c>
      <c r="I402" s="94" t="s">
        <v>618</v>
      </c>
    </row>
    <row r="403" spans="1:9" ht="12.75">
      <c r="A403" s="188">
        <f t="shared" si="37"/>
        <v>192</v>
      </c>
      <c r="B403" s="5" t="s">
        <v>271</v>
      </c>
      <c r="C403" s="190"/>
      <c r="D403" s="261" t="s">
        <v>655</v>
      </c>
      <c r="E403" s="8" t="s">
        <v>4</v>
      </c>
      <c r="F403" s="4">
        <v>2</v>
      </c>
      <c r="G403" s="331"/>
      <c r="H403" s="9">
        <f t="shared" si="36"/>
        <v>0</v>
      </c>
      <c r="I403" s="94" t="s">
        <v>618</v>
      </c>
    </row>
    <row r="404" spans="1:9" ht="12.75">
      <c r="A404" s="188">
        <f t="shared" si="37"/>
        <v>193</v>
      </c>
      <c r="B404" s="5" t="s">
        <v>477</v>
      </c>
      <c r="C404" s="190" t="s">
        <v>521</v>
      </c>
      <c r="D404" s="261" t="s">
        <v>478</v>
      </c>
      <c r="E404" s="8" t="s">
        <v>4</v>
      </c>
      <c r="F404" s="4">
        <f>+F405+F406</f>
        <v>2</v>
      </c>
      <c r="G404" s="331"/>
      <c r="H404" s="9">
        <f t="shared" si="36"/>
        <v>0</v>
      </c>
      <c r="I404" s="94" t="s">
        <v>618</v>
      </c>
    </row>
    <row r="405" spans="1:11" ht="25.5">
      <c r="A405" s="188">
        <f t="shared" si="37"/>
        <v>194</v>
      </c>
      <c r="B405" s="13" t="s">
        <v>476</v>
      </c>
      <c r="C405" s="190" t="s">
        <v>520</v>
      </c>
      <c r="D405" s="261" t="s">
        <v>408</v>
      </c>
      <c r="E405" s="8" t="s">
        <v>4</v>
      </c>
      <c r="F405" s="4">
        <v>1</v>
      </c>
      <c r="G405" s="331"/>
      <c r="H405" s="9">
        <f t="shared" si="36"/>
        <v>0</v>
      </c>
      <c r="I405" s="94" t="s">
        <v>618</v>
      </c>
      <c r="K405" s="221" t="s">
        <v>474</v>
      </c>
    </row>
    <row r="406" spans="1:11" ht="16.5">
      <c r="A406" s="188">
        <f t="shared" si="37"/>
        <v>195</v>
      </c>
      <c r="B406" s="13" t="s">
        <v>475</v>
      </c>
      <c r="C406" s="190" t="s">
        <v>520</v>
      </c>
      <c r="D406" s="261" t="s">
        <v>409</v>
      </c>
      <c r="E406" s="8" t="s">
        <v>4</v>
      </c>
      <c r="F406" s="4">
        <v>1</v>
      </c>
      <c r="G406" s="331"/>
      <c r="H406" s="9">
        <f t="shared" si="36"/>
        <v>0</v>
      </c>
      <c r="I406" s="32" t="s">
        <v>618</v>
      </c>
      <c r="K406" s="221" t="s">
        <v>473</v>
      </c>
    </row>
    <row r="407" spans="1:9" ht="12.75">
      <c r="A407" s="188">
        <f t="shared" si="37"/>
        <v>196</v>
      </c>
      <c r="B407" s="214" t="s">
        <v>829</v>
      </c>
      <c r="C407" s="183"/>
      <c r="D407" s="226" t="s">
        <v>799</v>
      </c>
      <c r="E407" s="185" t="s">
        <v>5</v>
      </c>
      <c r="F407" s="2">
        <f>+F397</f>
        <v>24.3</v>
      </c>
      <c r="G407" s="331"/>
      <c r="H407" s="186">
        <f t="shared" si="36"/>
        <v>0</v>
      </c>
      <c r="I407" s="94" t="s">
        <v>618</v>
      </c>
    </row>
    <row r="408" spans="1:9" ht="12.75">
      <c r="A408" s="188">
        <f>A407+1</f>
        <v>197</v>
      </c>
      <c r="B408" s="189" t="s">
        <v>830</v>
      </c>
      <c r="C408" s="183"/>
      <c r="D408" s="226" t="s">
        <v>831</v>
      </c>
      <c r="E408" s="185" t="s">
        <v>5</v>
      </c>
      <c r="F408" s="2">
        <f>+F407</f>
        <v>24.3</v>
      </c>
      <c r="G408" s="331"/>
      <c r="H408" s="186">
        <f t="shared" si="36"/>
        <v>0</v>
      </c>
      <c r="I408" s="94" t="s">
        <v>618</v>
      </c>
    </row>
    <row r="409" spans="1:9" ht="12.75">
      <c r="A409" s="188">
        <f>A408+1</f>
        <v>198</v>
      </c>
      <c r="B409" s="182" t="s">
        <v>44</v>
      </c>
      <c r="C409" s="183"/>
      <c r="D409" s="226" t="s">
        <v>150</v>
      </c>
      <c r="E409" s="185" t="s">
        <v>4</v>
      </c>
      <c r="F409" s="2">
        <v>1</v>
      </c>
      <c r="G409" s="331"/>
      <c r="H409" s="186">
        <f>F409*G409</f>
        <v>0</v>
      </c>
      <c r="I409" s="94" t="s">
        <v>618</v>
      </c>
    </row>
    <row r="410" spans="1:9" ht="13.5" thickBot="1">
      <c r="A410" s="188">
        <f>A409+1</f>
        <v>199</v>
      </c>
      <c r="B410" s="182" t="s">
        <v>64</v>
      </c>
      <c r="C410" s="183"/>
      <c r="D410" s="184" t="s">
        <v>536</v>
      </c>
      <c r="E410" s="235" t="s">
        <v>10</v>
      </c>
      <c r="F410" s="2">
        <f>+H397+H398+H399+H400+H402+H403+H405+H406</f>
        <v>0</v>
      </c>
      <c r="G410" s="335"/>
      <c r="H410" s="236">
        <f t="shared" si="36"/>
        <v>0</v>
      </c>
      <c r="I410" s="94" t="s">
        <v>618</v>
      </c>
    </row>
    <row r="411" spans="1:9" ht="13.5" thickBot="1">
      <c r="A411" s="181"/>
      <c r="B411" s="189"/>
      <c r="C411" s="183"/>
      <c r="D411" s="162" t="s">
        <v>3</v>
      </c>
      <c r="E411" s="163"/>
      <c r="F411" s="227"/>
      <c r="G411" s="228"/>
      <c r="H411" s="203">
        <f>SUBTOTAL(9,H397:H410)</f>
        <v>0</v>
      </c>
      <c r="I411" s="94"/>
    </row>
    <row r="412" spans="1:9" ht="12.75">
      <c r="A412" s="181"/>
      <c r="B412" s="189"/>
      <c r="C412" s="183"/>
      <c r="D412" s="204"/>
      <c r="E412" s="168"/>
      <c r="F412" s="68"/>
      <c r="G412" s="110"/>
      <c r="H412" s="205"/>
      <c r="I412" s="94"/>
    </row>
    <row r="413" spans="1:9" ht="12.75">
      <c r="A413" s="181"/>
      <c r="B413" s="189"/>
      <c r="C413" s="183"/>
      <c r="D413" s="204"/>
      <c r="E413" s="168"/>
      <c r="F413" s="68"/>
      <c r="G413" s="110"/>
      <c r="H413" s="205"/>
      <c r="I413" s="94"/>
    </row>
    <row r="414" spans="1:9" ht="16.5">
      <c r="A414" s="181"/>
      <c r="B414" s="189"/>
      <c r="C414" s="207" t="s">
        <v>779</v>
      </c>
      <c r="D414" s="146" t="s">
        <v>549</v>
      </c>
      <c r="E414" s="146"/>
      <c r="F414" s="206"/>
      <c r="G414" s="146"/>
      <c r="H414" s="146"/>
      <c r="I414" s="94"/>
    </row>
    <row r="415" spans="1:18" ht="86.25" customHeight="1">
      <c r="A415" s="181"/>
      <c r="B415" s="189"/>
      <c r="C415" s="176"/>
      <c r="D415" s="306" t="s">
        <v>792</v>
      </c>
      <c r="E415" s="306"/>
      <c r="F415" s="306"/>
      <c r="G415" s="230"/>
      <c r="H415" s="230"/>
      <c r="I415" s="94"/>
      <c r="Q415" s="198"/>
      <c r="R415" s="47"/>
    </row>
    <row r="416" spans="1:11" ht="13.5" customHeight="1">
      <c r="A416" s="181">
        <f>A410+1</f>
        <v>200</v>
      </c>
      <c r="B416" s="189" t="s">
        <v>833</v>
      </c>
      <c r="C416" s="183" t="s">
        <v>521</v>
      </c>
      <c r="D416" s="184" t="s">
        <v>832</v>
      </c>
      <c r="E416" s="185" t="s">
        <v>4</v>
      </c>
      <c r="F416" s="2">
        <v>2</v>
      </c>
      <c r="G416" s="331"/>
      <c r="H416" s="186">
        <f>F416*G416</f>
        <v>0</v>
      </c>
      <c r="I416" s="94" t="s">
        <v>618</v>
      </c>
      <c r="K416" s="231"/>
    </row>
    <row r="417" spans="1:11" ht="38.25">
      <c r="A417" s="181">
        <f>A416+1</f>
        <v>201</v>
      </c>
      <c r="B417" s="182" t="s">
        <v>179</v>
      </c>
      <c r="C417" s="222" t="s">
        <v>520</v>
      </c>
      <c r="D417" s="223" t="s">
        <v>727</v>
      </c>
      <c r="E417" s="224" t="s">
        <v>4</v>
      </c>
      <c r="F417" s="12">
        <v>1</v>
      </c>
      <c r="G417" s="333"/>
      <c r="H417" s="225">
        <f aca="true" t="shared" si="38" ref="H417:H442">F417*G417</f>
        <v>0</v>
      </c>
      <c r="I417" s="94" t="s">
        <v>618</v>
      </c>
      <c r="K417" s="221" t="s">
        <v>729</v>
      </c>
    </row>
    <row r="418" spans="1:9" ht="12.75">
      <c r="A418" s="181">
        <f>A417+1</f>
        <v>202</v>
      </c>
      <c r="B418" s="189" t="s">
        <v>800</v>
      </c>
      <c r="C418" s="183" t="s">
        <v>521</v>
      </c>
      <c r="D418" s="184" t="s">
        <v>762</v>
      </c>
      <c r="E418" s="185" t="s">
        <v>4</v>
      </c>
      <c r="F418" s="2">
        <v>2</v>
      </c>
      <c r="G418" s="331"/>
      <c r="H418" s="186">
        <f t="shared" si="38"/>
        <v>0</v>
      </c>
      <c r="I418" s="94" t="s">
        <v>618</v>
      </c>
    </row>
    <row r="419" spans="1:9" ht="12.75">
      <c r="A419" s="181">
        <f>A418+1</f>
        <v>203</v>
      </c>
      <c r="B419" s="182" t="s">
        <v>120</v>
      </c>
      <c r="C419" s="222" t="s">
        <v>520</v>
      </c>
      <c r="D419" s="223" t="s">
        <v>834</v>
      </c>
      <c r="E419" s="224" t="s">
        <v>4</v>
      </c>
      <c r="F419" s="3">
        <v>1</v>
      </c>
      <c r="G419" s="333"/>
      <c r="H419" s="225">
        <f t="shared" si="38"/>
        <v>0</v>
      </c>
      <c r="I419" s="94" t="s">
        <v>618</v>
      </c>
    </row>
    <row r="420" spans="1:9" ht="12.75">
      <c r="A420" s="181">
        <f aca="true" t="shared" si="39" ref="A420:A442">A419+1</f>
        <v>204</v>
      </c>
      <c r="B420" s="182" t="s">
        <v>122</v>
      </c>
      <c r="C420" s="222" t="s">
        <v>520</v>
      </c>
      <c r="D420" s="223" t="s">
        <v>728</v>
      </c>
      <c r="E420" s="224" t="s">
        <v>4</v>
      </c>
      <c r="F420" s="3">
        <v>1</v>
      </c>
      <c r="G420" s="333"/>
      <c r="H420" s="225">
        <f t="shared" si="38"/>
        <v>0</v>
      </c>
      <c r="I420" s="94" t="s">
        <v>618</v>
      </c>
    </row>
    <row r="421" spans="1:9" ht="12.75">
      <c r="A421" s="181">
        <f t="shared" si="39"/>
        <v>205</v>
      </c>
      <c r="B421" s="189" t="s">
        <v>836</v>
      </c>
      <c r="C421" s="183" t="s">
        <v>521</v>
      </c>
      <c r="D421" s="184" t="s">
        <v>801</v>
      </c>
      <c r="E421" s="185" t="s">
        <v>4</v>
      </c>
      <c r="F421" s="2">
        <v>1</v>
      </c>
      <c r="G421" s="331"/>
      <c r="H421" s="186">
        <f t="shared" si="38"/>
        <v>0</v>
      </c>
      <c r="I421" s="94" t="s">
        <v>618</v>
      </c>
    </row>
    <row r="422" spans="1:9" ht="25.5">
      <c r="A422" s="181">
        <f t="shared" si="39"/>
        <v>206</v>
      </c>
      <c r="B422" s="182" t="s">
        <v>124</v>
      </c>
      <c r="C422" s="222" t="s">
        <v>520</v>
      </c>
      <c r="D422" s="223" t="s">
        <v>835</v>
      </c>
      <c r="E422" s="224" t="s">
        <v>4</v>
      </c>
      <c r="F422" s="12">
        <v>1</v>
      </c>
      <c r="G422" s="333"/>
      <c r="H422" s="225">
        <f t="shared" si="38"/>
        <v>0</v>
      </c>
      <c r="I422" s="94" t="s">
        <v>618</v>
      </c>
    </row>
    <row r="423" spans="1:9" ht="25.5">
      <c r="A423" s="181">
        <f t="shared" si="39"/>
        <v>207</v>
      </c>
      <c r="B423" s="189" t="s">
        <v>837</v>
      </c>
      <c r="C423" s="222"/>
      <c r="D423" s="184" t="s">
        <v>806</v>
      </c>
      <c r="E423" s="185" t="s">
        <v>4</v>
      </c>
      <c r="F423" s="2">
        <v>1</v>
      </c>
      <c r="G423" s="331"/>
      <c r="H423" s="186">
        <f t="shared" si="38"/>
        <v>0</v>
      </c>
      <c r="I423" s="94" t="s">
        <v>618</v>
      </c>
    </row>
    <row r="424" spans="1:11" ht="25.5">
      <c r="A424" s="181">
        <f t="shared" si="39"/>
        <v>208</v>
      </c>
      <c r="B424" s="182" t="s">
        <v>126</v>
      </c>
      <c r="C424" s="222" t="s">
        <v>520</v>
      </c>
      <c r="D424" s="218" t="s">
        <v>410</v>
      </c>
      <c r="E424" s="219" t="s">
        <v>4</v>
      </c>
      <c r="F424" s="12">
        <v>1</v>
      </c>
      <c r="G424" s="333"/>
      <c r="H424" s="220">
        <f t="shared" si="38"/>
        <v>0</v>
      </c>
      <c r="I424" s="32" t="s">
        <v>618</v>
      </c>
      <c r="K424" s="221" t="s">
        <v>411</v>
      </c>
    </row>
    <row r="425" spans="1:11" ht="38.25">
      <c r="A425" s="181">
        <f t="shared" si="39"/>
        <v>209</v>
      </c>
      <c r="B425" s="182" t="s">
        <v>121</v>
      </c>
      <c r="C425" s="222" t="s">
        <v>520</v>
      </c>
      <c r="D425" s="218" t="s">
        <v>838</v>
      </c>
      <c r="E425" s="219" t="s">
        <v>4</v>
      </c>
      <c r="F425" s="12">
        <v>1</v>
      </c>
      <c r="G425" s="333"/>
      <c r="H425" s="220">
        <f t="shared" si="38"/>
        <v>0</v>
      </c>
      <c r="I425" s="32" t="s">
        <v>618</v>
      </c>
      <c r="K425" s="11"/>
    </row>
    <row r="426" spans="1:11" ht="38.25">
      <c r="A426" s="181">
        <f t="shared" si="39"/>
        <v>210</v>
      </c>
      <c r="B426" s="182" t="s">
        <v>127</v>
      </c>
      <c r="C426" s="222" t="s">
        <v>520</v>
      </c>
      <c r="D426" s="218" t="s">
        <v>259</v>
      </c>
      <c r="E426" s="219" t="s">
        <v>4</v>
      </c>
      <c r="F426" s="12">
        <v>1</v>
      </c>
      <c r="G426" s="333"/>
      <c r="H426" s="220">
        <f t="shared" si="38"/>
        <v>0</v>
      </c>
      <c r="I426" s="32" t="s">
        <v>618</v>
      </c>
      <c r="J426" s="195"/>
      <c r="K426" s="221" t="s">
        <v>258</v>
      </c>
    </row>
    <row r="427" spans="1:9" ht="12.75">
      <c r="A427" s="181">
        <f t="shared" si="39"/>
        <v>211</v>
      </c>
      <c r="B427" s="182" t="s">
        <v>180</v>
      </c>
      <c r="C427" s="183" t="s">
        <v>521</v>
      </c>
      <c r="D427" s="184" t="s">
        <v>181</v>
      </c>
      <c r="E427" s="185" t="s">
        <v>4</v>
      </c>
      <c r="F427" s="2">
        <v>1</v>
      </c>
      <c r="G427" s="331"/>
      <c r="H427" s="186">
        <f t="shared" si="38"/>
        <v>0</v>
      </c>
      <c r="I427" s="17" t="s">
        <v>618</v>
      </c>
    </row>
    <row r="428" spans="1:9" ht="12.75">
      <c r="A428" s="181">
        <f t="shared" si="39"/>
        <v>212</v>
      </c>
      <c r="B428" s="189" t="s">
        <v>808</v>
      </c>
      <c r="C428" s="183" t="s">
        <v>521</v>
      </c>
      <c r="D428" s="184" t="s">
        <v>807</v>
      </c>
      <c r="E428" s="185" t="s">
        <v>4</v>
      </c>
      <c r="F428" s="2">
        <v>1</v>
      </c>
      <c r="G428" s="331"/>
      <c r="H428" s="186">
        <f t="shared" si="38"/>
        <v>0</v>
      </c>
      <c r="I428" s="17" t="s">
        <v>618</v>
      </c>
    </row>
    <row r="429" spans="1:9" ht="25.5">
      <c r="A429" s="181">
        <f t="shared" si="39"/>
        <v>213</v>
      </c>
      <c r="B429" s="182" t="s">
        <v>125</v>
      </c>
      <c r="C429" s="222"/>
      <c r="D429" s="223" t="s">
        <v>857</v>
      </c>
      <c r="E429" s="224" t="s">
        <v>4</v>
      </c>
      <c r="F429" s="12">
        <v>1</v>
      </c>
      <c r="G429" s="333"/>
      <c r="H429" s="225">
        <f t="shared" si="38"/>
        <v>0</v>
      </c>
      <c r="I429" s="94" t="s">
        <v>618</v>
      </c>
    </row>
    <row r="430" spans="1:9" ht="12.75">
      <c r="A430" s="181">
        <f t="shared" si="39"/>
        <v>214</v>
      </c>
      <c r="B430" s="189" t="s">
        <v>839</v>
      </c>
      <c r="C430" s="183" t="s">
        <v>521</v>
      </c>
      <c r="D430" s="184" t="s">
        <v>840</v>
      </c>
      <c r="E430" s="185" t="s">
        <v>4</v>
      </c>
      <c r="F430" s="2">
        <v>1</v>
      </c>
      <c r="G430" s="331"/>
      <c r="H430" s="186">
        <f t="shared" si="38"/>
        <v>0</v>
      </c>
      <c r="I430" s="94" t="s">
        <v>618</v>
      </c>
    </row>
    <row r="431" spans="1:9" ht="25.5">
      <c r="A431" s="181">
        <f t="shared" si="39"/>
        <v>215</v>
      </c>
      <c r="B431" s="182" t="s">
        <v>128</v>
      </c>
      <c r="C431" s="222" t="s">
        <v>520</v>
      </c>
      <c r="D431" s="223" t="s">
        <v>858</v>
      </c>
      <c r="E431" s="224" t="s">
        <v>4</v>
      </c>
      <c r="F431" s="12">
        <v>1</v>
      </c>
      <c r="G431" s="333"/>
      <c r="H431" s="225">
        <f t="shared" si="38"/>
        <v>0</v>
      </c>
      <c r="I431" s="94" t="s">
        <v>618</v>
      </c>
    </row>
    <row r="432" spans="1:11" ht="12.75">
      <c r="A432" s="181">
        <f t="shared" si="39"/>
        <v>216</v>
      </c>
      <c r="B432" s="189" t="s">
        <v>788</v>
      </c>
      <c r="C432" s="183" t="s">
        <v>521</v>
      </c>
      <c r="D432" s="184" t="s">
        <v>789</v>
      </c>
      <c r="E432" s="185" t="s">
        <v>4</v>
      </c>
      <c r="F432" s="2">
        <v>1</v>
      </c>
      <c r="G432" s="331"/>
      <c r="H432" s="186">
        <f t="shared" si="38"/>
        <v>0</v>
      </c>
      <c r="I432" s="94" t="s">
        <v>618</v>
      </c>
      <c r="K432" s="231"/>
    </row>
    <row r="433" spans="1:9" ht="25.5">
      <c r="A433" s="181">
        <f t="shared" si="39"/>
        <v>217</v>
      </c>
      <c r="B433" s="182" t="s">
        <v>123</v>
      </c>
      <c r="C433" s="222" t="s">
        <v>520</v>
      </c>
      <c r="D433" s="223" t="s">
        <v>648</v>
      </c>
      <c r="E433" s="224" t="s">
        <v>4</v>
      </c>
      <c r="F433" s="3">
        <v>1</v>
      </c>
      <c r="G433" s="333"/>
      <c r="H433" s="225">
        <f t="shared" si="38"/>
        <v>0</v>
      </c>
      <c r="I433" s="94" t="s">
        <v>618</v>
      </c>
    </row>
    <row r="434" spans="1:11" ht="16.5">
      <c r="A434" s="181">
        <f t="shared" si="39"/>
        <v>218</v>
      </c>
      <c r="B434" s="196" t="s">
        <v>416</v>
      </c>
      <c r="C434" s="183" t="s">
        <v>521</v>
      </c>
      <c r="D434" s="14" t="s">
        <v>415</v>
      </c>
      <c r="E434" s="185" t="s">
        <v>4</v>
      </c>
      <c r="F434" s="2">
        <v>1</v>
      </c>
      <c r="G434" s="331"/>
      <c r="H434" s="186">
        <f t="shared" si="38"/>
        <v>0</v>
      </c>
      <c r="I434" s="94" t="s">
        <v>618</v>
      </c>
      <c r="K434" s="221" t="s">
        <v>412</v>
      </c>
    </row>
    <row r="435" spans="1:11" ht="38.25">
      <c r="A435" s="181">
        <f t="shared" si="39"/>
        <v>219</v>
      </c>
      <c r="B435" s="182" t="s">
        <v>129</v>
      </c>
      <c r="C435" s="222" t="s">
        <v>520</v>
      </c>
      <c r="D435" s="218" t="s">
        <v>414</v>
      </c>
      <c r="E435" s="224" t="s">
        <v>4</v>
      </c>
      <c r="F435" s="12">
        <v>1</v>
      </c>
      <c r="G435" s="333"/>
      <c r="H435" s="225">
        <f t="shared" si="38"/>
        <v>0</v>
      </c>
      <c r="I435" s="94" t="s">
        <v>618</v>
      </c>
      <c r="K435" s="221" t="s">
        <v>413</v>
      </c>
    </row>
    <row r="436" spans="1:11" ht="16.5">
      <c r="A436" s="181">
        <f t="shared" si="39"/>
        <v>220</v>
      </c>
      <c r="B436" s="182" t="s">
        <v>36</v>
      </c>
      <c r="C436" s="190" t="s">
        <v>521</v>
      </c>
      <c r="D436" s="184" t="s">
        <v>731</v>
      </c>
      <c r="E436" s="185" t="s">
        <v>4</v>
      </c>
      <c r="F436" s="2">
        <v>1</v>
      </c>
      <c r="G436" s="331"/>
      <c r="H436" s="186">
        <f>F436*G436</f>
        <v>0</v>
      </c>
      <c r="I436" s="94" t="s">
        <v>618</v>
      </c>
      <c r="K436" s="221" t="s">
        <v>35</v>
      </c>
    </row>
    <row r="437" spans="1:11" ht="25.5">
      <c r="A437" s="181">
        <f t="shared" si="39"/>
        <v>221</v>
      </c>
      <c r="B437" s="182" t="s">
        <v>130</v>
      </c>
      <c r="C437" s="222" t="s">
        <v>520</v>
      </c>
      <c r="D437" s="223" t="s">
        <v>564</v>
      </c>
      <c r="E437" s="224" t="s">
        <v>4</v>
      </c>
      <c r="F437" s="3">
        <v>1</v>
      </c>
      <c r="G437" s="333"/>
      <c r="H437" s="225">
        <f t="shared" si="38"/>
        <v>0</v>
      </c>
      <c r="I437" s="94" t="s">
        <v>618</v>
      </c>
      <c r="K437" s="221" t="s">
        <v>37</v>
      </c>
    </row>
    <row r="438" spans="1:9" ht="12.75">
      <c r="A438" s="181">
        <f t="shared" si="39"/>
        <v>222</v>
      </c>
      <c r="B438" s="182" t="s">
        <v>514</v>
      </c>
      <c r="C438" s="190" t="s">
        <v>521</v>
      </c>
      <c r="D438" s="184" t="s">
        <v>515</v>
      </c>
      <c r="E438" s="185" t="s">
        <v>4</v>
      </c>
      <c r="F438" s="2">
        <f>+F439</f>
        <v>5</v>
      </c>
      <c r="G438" s="331"/>
      <c r="H438" s="186">
        <f t="shared" si="38"/>
        <v>0</v>
      </c>
      <c r="I438" s="94" t="s">
        <v>618</v>
      </c>
    </row>
    <row r="439" spans="1:11" ht="16.5">
      <c r="A439" s="181">
        <f t="shared" si="39"/>
        <v>223</v>
      </c>
      <c r="B439" s="182" t="s">
        <v>131</v>
      </c>
      <c r="C439" s="222" t="s">
        <v>520</v>
      </c>
      <c r="D439" s="223" t="s">
        <v>572</v>
      </c>
      <c r="E439" s="224" t="s">
        <v>4</v>
      </c>
      <c r="F439" s="3">
        <v>5</v>
      </c>
      <c r="G439" s="333"/>
      <c r="H439" s="225">
        <f t="shared" si="38"/>
        <v>0</v>
      </c>
      <c r="I439" s="94" t="s">
        <v>618</v>
      </c>
      <c r="K439" s="221"/>
    </row>
    <row r="440" spans="1:9" ht="12.75">
      <c r="A440" s="181">
        <f t="shared" si="39"/>
        <v>224</v>
      </c>
      <c r="B440" s="187" t="s">
        <v>417</v>
      </c>
      <c r="C440" s="6" t="s">
        <v>521</v>
      </c>
      <c r="D440" s="14" t="s">
        <v>418</v>
      </c>
      <c r="E440" s="8" t="s">
        <v>4</v>
      </c>
      <c r="F440" s="4">
        <v>1</v>
      </c>
      <c r="G440" s="331"/>
      <c r="H440" s="9">
        <f t="shared" si="38"/>
        <v>0</v>
      </c>
      <c r="I440" s="32" t="s">
        <v>618</v>
      </c>
    </row>
    <row r="441" spans="1:11" ht="38.25">
      <c r="A441" s="181">
        <f t="shared" si="39"/>
        <v>225</v>
      </c>
      <c r="B441" s="196" t="s">
        <v>480</v>
      </c>
      <c r="C441" s="217" t="s">
        <v>520</v>
      </c>
      <c r="D441" s="218" t="s">
        <v>479</v>
      </c>
      <c r="E441" s="219" t="s">
        <v>4</v>
      </c>
      <c r="F441" s="12">
        <v>1</v>
      </c>
      <c r="G441" s="333"/>
      <c r="H441" s="220">
        <f t="shared" si="38"/>
        <v>0</v>
      </c>
      <c r="I441" s="32" t="s">
        <v>618</v>
      </c>
      <c r="K441" s="221" t="s">
        <v>481</v>
      </c>
    </row>
    <row r="442" spans="1:9" ht="12.75" customHeight="1" thickBot="1">
      <c r="A442" s="181">
        <f t="shared" si="39"/>
        <v>226</v>
      </c>
      <c r="B442" s="182" t="s">
        <v>64</v>
      </c>
      <c r="C442" s="183"/>
      <c r="D442" s="184" t="s">
        <v>536</v>
      </c>
      <c r="E442" s="235" t="s">
        <v>10</v>
      </c>
      <c r="F442" s="2">
        <f>+H417+H419+H420+H422+H424+H425+H429+H431+H433+H435+H437+H441</f>
        <v>0</v>
      </c>
      <c r="G442" s="335"/>
      <c r="H442" s="236">
        <f t="shared" si="38"/>
        <v>0</v>
      </c>
      <c r="I442" s="94" t="s">
        <v>618</v>
      </c>
    </row>
    <row r="443" spans="1:9" ht="13.5" thickBot="1">
      <c r="A443" s="181"/>
      <c r="B443" s="189"/>
      <c r="C443" s="183"/>
      <c r="D443" s="162" t="s">
        <v>3</v>
      </c>
      <c r="E443" s="163"/>
      <c r="F443" s="227"/>
      <c r="G443" s="228"/>
      <c r="H443" s="203">
        <f>SUBTOTAL(9,H416:H442)</f>
        <v>0</v>
      </c>
      <c r="I443" s="94"/>
    </row>
    <row r="444" spans="1:9" ht="13.5" thickBot="1">
      <c r="A444" s="181"/>
      <c r="B444" s="189"/>
      <c r="C444" s="183"/>
      <c r="D444" s="204"/>
      <c r="E444" s="168"/>
      <c r="F444" s="68"/>
      <c r="G444" s="110"/>
      <c r="H444" s="205"/>
      <c r="I444" s="94"/>
    </row>
    <row r="445" spans="1:9" ht="16.5">
      <c r="A445" s="181"/>
      <c r="B445" s="189"/>
      <c r="C445" s="207" t="s">
        <v>780</v>
      </c>
      <c r="D445" s="263" t="s">
        <v>550</v>
      </c>
      <c r="E445" s="263"/>
      <c r="F445" s="264"/>
      <c r="G445" s="263"/>
      <c r="H445" s="263"/>
      <c r="I445" s="94"/>
    </row>
    <row r="446" spans="1:9" ht="82.5" customHeight="1">
      <c r="A446" s="181"/>
      <c r="B446" s="189"/>
      <c r="C446" s="176"/>
      <c r="D446" s="306" t="s">
        <v>571</v>
      </c>
      <c r="E446" s="306"/>
      <c r="F446" s="306"/>
      <c r="G446" s="230"/>
      <c r="H446" s="230"/>
      <c r="I446" s="94"/>
    </row>
    <row r="447" spans="1:11" ht="16.5">
      <c r="A447" s="188">
        <f>A442+1</f>
        <v>227</v>
      </c>
      <c r="B447" s="187" t="s">
        <v>419</v>
      </c>
      <c r="C447" s="183" t="s">
        <v>521</v>
      </c>
      <c r="D447" s="14" t="s">
        <v>420</v>
      </c>
      <c r="E447" s="8" t="s">
        <v>5</v>
      </c>
      <c r="F447" s="4">
        <f>+F448+F454</f>
        <v>6.9</v>
      </c>
      <c r="G447" s="331"/>
      <c r="H447" s="9">
        <f aca="true" t="shared" si="40" ref="H447:H453">F447*G447</f>
        <v>0</v>
      </c>
      <c r="I447" s="32" t="s">
        <v>621</v>
      </c>
      <c r="K447" s="221"/>
    </row>
    <row r="448" spans="1:11" ht="16.5">
      <c r="A448" s="181">
        <f aca="true" t="shared" si="41" ref="A448:A457">A447+1</f>
        <v>228</v>
      </c>
      <c r="B448" s="182">
        <v>429851112</v>
      </c>
      <c r="C448" s="222" t="s">
        <v>520</v>
      </c>
      <c r="D448" s="218" t="s">
        <v>430</v>
      </c>
      <c r="E448" s="219" t="s">
        <v>5</v>
      </c>
      <c r="F448" s="12">
        <v>5.9</v>
      </c>
      <c r="G448" s="333"/>
      <c r="H448" s="225">
        <f t="shared" si="40"/>
        <v>0</v>
      </c>
      <c r="I448" s="94" t="s">
        <v>621</v>
      </c>
      <c r="K448" s="221" t="s">
        <v>14</v>
      </c>
    </row>
    <row r="449" spans="1:11" ht="16.5">
      <c r="A449" s="181">
        <f t="shared" si="41"/>
        <v>229</v>
      </c>
      <c r="B449" s="182">
        <v>429853210</v>
      </c>
      <c r="C449" s="222" t="s">
        <v>520</v>
      </c>
      <c r="D449" s="218" t="s">
        <v>485</v>
      </c>
      <c r="E449" s="219" t="s">
        <v>4</v>
      </c>
      <c r="F449" s="12">
        <v>3</v>
      </c>
      <c r="G449" s="333"/>
      <c r="H449" s="220">
        <f t="shared" si="40"/>
        <v>0</v>
      </c>
      <c r="I449" s="32" t="s">
        <v>621</v>
      </c>
      <c r="K449" s="221"/>
    </row>
    <row r="450" spans="1:9" ht="12.75">
      <c r="A450" s="181">
        <f t="shared" si="41"/>
        <v>230</v>
      </c>
      <c r="B450" s="189">
        <v>429853240</v>
      </c>
      <c r="C450" s="222" t="s">
        <v>520</v>
      </c>
      <c r="D450" s="223" t="s">
        <v>431</v>
      </c>
      <c r="E450" s="224" t="s">
        <v>4</v>
      </c>
      <c r="F450" s="3">
        <v>10</v>
      </c>
      <c r="G450" s="333"/>
      <c r="H450" s="225">
        <f t="shared" si="40"/>
        <v>0</v>
      </c>
      <c r="I450" s="94" t="s">
        <v>621</v>
      </c>
    </row>
    <row r="451" spans="1:9" ht="12.75">
      <c r="A451" s="181">
        <f t="shared" si="41"/>
        <v>231</v>
      </c>
      <c r="B451" s="189">
        <v>429853270</v>
      </c>
      <c r="C451" s="222" t="s">
        <v>520</v>
      </c>
      <c r="D451" s="223" t="s">
        <v>432</v>
      </c>
      <c r="E451" s="224" t="s">
        <v>4</v>
      </c>
      <c r="F451" s="3">
        <v>10</v>
      </c>
      <c r="G451" s="333"/>
      <c r="H451" s="225">
        <f t="shared" si="40"/>
        <v>0</v>
      </c>
      <c r="I451" s="94" t="s">
        <v>621</v>
      </c>
    </row>
    <row r="452" spans="1:11" ht="12.75">
      <c r="A452" s="181">
        <f t="shared" si="41"/>
        <v>232</v>
      </c>
      <c r="B452" s="182" t="s">
        <v>489</v>
      </c>
      <c r="C452" s="222" t="s">
        <v>520</v>
      </c>
      <c r="D452" s="218" t="s">
        <v>421</v>
      </c>
      <c r="E452" s="219" t="s">
        <v>4</v>
      </c>
      <c r="F452" s="12">
        <v>1</v>
      </c>
      <c r="G452" s="333"/>
      <c r="H452" s="225">
        <f t="shared" si="40"/>
        <v>0</v>
      </c>
      <c r="I452" s="94" t="s">
        <v>621</v>
      </c>
      <c r="K452" s="78" t="s">
        <v>490</v>
      </c>
    </row>
    <row r="453" spans="1:11" ht="25.5">
      <c r="A453" s="181">
        <f t="shared" si="41"/>
        <v>233</v>
      </c>
      <c r="B453" s="182" t="s">
        <v>487</v>
      </c>
      <c r="C453" s="222" t="s">
        <v>520</v>
      </c>
      <c r="D453" s="218" t="s">
        <v>232</v>
      </c>
      <c r="E453" s="219" t="s">
        <v>5</v>
      </c>
      <c r="F453" s="12">
        <v>1.6</v>
      </c>
      <c r="G453" s="333"/>
      <c r="H453" s="225">
        <f t="shared" si="40"/>
        <v>0</v>
      </c>
      <c r="I453" s="94" t="s">
        <v>621</v>
      </c>
      <c r="K453" s="221" t="s">
        <v>486</v>
      </c>
    </row>
    <row r="454" spans="1:9" ht="12.75">
      <c r="A454" s="181">
        <f t="shared" si="41"/>
        <v>234</v>
      </c>
      <c r="B454" s="189">
        <v>429822001</v>
      </c>
      <c r="C454" s="222" t="s">
        <v>520</v>
      </c>
      <c r="D454" s="218" t="s">
        <v>488</v>
      </c>
      <c r="E454" s="219" t="s">
        <v>4</v>
      </c>
      <c r="F454" s="12">
        <v>1</v>
      </c>
      <c r="G454" s="333"/>
      <c r="H454" s="225">
        <f aca="true" t="shared" si="42" ref="H454:H467">F454*G454</f>
        <v>0</v>
      </c>
      <c r="I454" s="94" t="s">
        <v>621</v>
      </c>
    </row>
    <row r="455" spans="1:9" ht="12.75">
      <c r="A455" s="181">
        <f t="shared" si="41"/>
        <v>235</v>
      </c>
      <c r="B455" s="182">
        <v>429853245</v>
      </c>
      <c r="C455" s="222" t="s">
        <v>520</v>
      </c>
      <c r="D455" s="223" t="s">
        <v>433</v>
      </c>
      <c r="E455" s="224" t="s">
        <v>4</v>
      </c>
      <c r="F455" s="3">
        <v>1</v>
      </c>
      <c r="G455" s="333"/>
      <c r="H455" s="225">
        <f t="shared" si="42"/>
        <v>0</v>
      </c>
      <c r="I455" s="94" t="s">
        <v>621</v>
      </c>
    </row>
    <row r="456" spans="1:11" ht="25.5">
      <c r="A456" s="181">
        <f t="shared" si="41"/>
        <v>236</v>
      </c>
      <c r="B456" s="182" t="s">
        <v>135</v>
      </c>
      <c r="C456" s="222" t="s">
        <v>520</v>
      </c>
      <c r="D456" s="223" t="s">
        <v>434</v>
      </c>
      <c r="E456" s="224" t="s">
        <v>4</v>
      </c>
      <c r="F456" s="3">
        <v>1</v>
      </c>
      <c r="G456" s="333"/>
      <c r="H456" s="225">
        <f>F456*G456</f>
        <v>0</v>
      </c>
      <c r="I456" s="94" t="s">
        <v>621</v>
      </c>
      <c r="K456" s="221" t="s">
        <v>491</v>
      </c>
    </row>
    <row r="457" spans="1:11" ht="16.5">
      <c r="A457" s="181">
        <f t="shared" si="41"/>
        <v>237</v>
      </c>
      <c r="B457" s="182" t="s">
        <v>492</v>
      </c>
      <c r="C457" s="183" t="s">
        <v>827</v>
      </c>
      <c r="D457" s="185" t="s">
        <v>493</v>
      </c>
      <c r="E457" s="185" t="s">
        <v>5</v>
      </c>
      <c r="F457" s="2">
        <v>0.6</v>
      </c>
      <c r="G457" s="331"/>
      <c r="H457" s="9">
        <f t="shared" si="42"/>
        <v>0</v>
      </c>
      <c r="I457" s="94" t="s">
        <v>621</v>
      </c>
      <c r="K457" s="221" t="s">
        <v>45</v>
      </c>
    </row>
    <row r="458" spans="1:11" ht="16.5">
      <c r="A458" s="181">
        <f>A457+1</f>
        <v>238</v>
      </c>
      <c r="B458" s="196" t="s">
        <v>428</v>
      </c>
      <c r="C458" s="183" t="s">
        <v>521</v>
      </c>
      <c r="D458" s="184" t="s">
        <v>427</v>
      </c>
      <c r="E458" s="185" t="s">
        <v>4</v>
      </c>
      <c r="F458" s="2">
        <v>1</v>
      </c>
      <c r="G458" s="331"/>
      <c r="H458" s="9">
        <f t="shared" si="42"/>
        <v>0</v>
      </c>
      <c r="I458" s="94" t="s">
        <v>621</v>
      </c>
      <c r="K458" s="221"/>
    </row>
    <row r="459" spans="1:11" ht="16.5">
      <c r="A459" s="181">
        <f aca="true" t="shared" si="43" ref="A459:A467">A458+1</f>
        <v>239</v>
      </c>
      <c r="B459" s="182" t="s">
        <v>147</v>
      </c>
      <c r="C459" s="222" t="s">
        <v>520</v>
      </c>
      <c r="D459" s="223" t="s">
        <v>426</v>
      </c>
      <c r="E459" s="224" t="s">
        <v>4</v>
      </c>
      <c r="F459" s="3">
        <v>1</v>
      </c>
      <c r="G459" s="341"/>
      <c r="H459" s="225">
        <f t="shared" si="42"/>
        <v>0</v>
      </c>
      <c r="I459" s="94" t="s">
        <v>621</v>
      </c>
      <c r="K459" s="221" t="s">
        <v>429</v>
      </c>
    </row>
    <row r="460" spans="1:11" ht="16.5">
      <c r="A460" s="181">
        <f t="shared" si="43"/>
        <v>240</v>
      </c>
      <c r="B460" s="189" t="s">
        <v>732</v>
      </c>
      <c r="C460" s="183" t="s">
        <v>521</v>
      </c>
      <c r="D460" s="184" t="s">
        <v>132</v>
      </c>
      <c r="E460" s="185" t="s">
        <v>4</v>
      </c>
      <c r="F460" s="2">
        <v>1</v>
      </c>
      <c r="G460" s="331"/>
      <c r="H460" s="9">
        <f t="shared" si="42"/>
        <v>0</v>
      </c>
      <c r="I460" s="94" t="s">
        <v>621</v>
      </c>
      <c r="K460" s="221"/>
    </row>
    <row r="461" spans="1:11" ht="16.5">
      <c r="A461" s="181">
        <f t="shared" si="43"/>
        <v>241</v>
      </c>
      <c r="B461" s="182" t="s">
        <v>133</v>
      </c>
      <c r="C461" s="222" t="s">
        <v>520</v>
      </c>
      <c r="D461" s="218" t="s">
        <v>435</v>
      </c>
      <c r="E461" s="224" t="s">
        <v>4</v>
      </c>
      <c r="F461" s="3">
        <v>1</v>
      </c>
      <c r="G461" s="341"/>
      <c r="H461" s="225">
        <f>F461*G461</f>
        <v>0</v>
      </c>
      <c r="I461" s="94" t="s">
        <v>621</v>
      </c>
      <c r="K461" s="221" t="s">
        <v>436</v>
      </c>
    </row>
    <row r="462" spans="1:11" ht="16.5">
      <c r="A462" s="181">
        <f t="shared" si="43"/>
        <v>242</v>
      </c>
      <c r="B462" s="216" t="s">
        <v>516</v>
      </c>
      <c r="C462" s="19" t="s">
        <v>521</v>
      </c>
      <c r="D462" s="14" t="s">
        <v>425</v>
      </c>
      <c r="E462" s="8" t="s">
        <v>5</v>
      </c>
      <c r="F462" s="4">
        <f>F463</f>
        <v>12.5</v>
      </c>
      <c r="G462" s="342"/>
      <c r="H462" s="9">
        <f>F462*G462</f>
        <v>0</v>
      </c>
      <c r="I462" s="32" t="s">
        <v>621</v>
      </c>
      <c r="K462" s="221"/>
    </row>
    <row r="463" spans="1:11" ht="16.5">
      <c r="A463" s="181">
        <f t="shared" si="43"/>
        <v>243</v>
      </c>
      <c r="B463" s="216" t="s">
        <v>494</v>
      </c>
      <c r="C463" s="265" t="s">
        <v>520</v>
      </c>
      <c r="D463" s="218" t="s">
        <v>424</v>
      </c>
      <c r="E463" s="219" t="s">
        <v>5</v>
      </c>
      <c r="F463" s="12">
        <v>12.5</v>
      </c>
      <c r="G463" s="341"/>
      <c r="H463" s="220">
        <f>F463*G463</f>
        <v>0</v>
      </c>
      <c r="I463" s="32" t="s">
        <v>621</v>
      </c>
      <c r="K463" s="221" t="s">
        <v>495</v>
      </c>
    </row>
    <row r="464" spans="1:11" ht="16.5">
      <c r="A464" s="181">
        <f t="shared" si="43"/>
        <v>244</v>
      </c>
      <c r="B464" s="189" t="s">
        <v>735</v>
      </c>
      <c r="C464" s="183" t="s">
        <v>734</v>
      </c>
      <c r="D464" s="184" t="s">
        <v>733</v>
      </c>
      <c r="E464" s="185" t="s">
        <v>4</v>
      </c>
      <c r="F464" s="2">
        <v>1</v>
      </c>
      <c r="G464" s="331"/>
      <c r="H464" s="9">
        <f t="shared" si="42"/>
        <v>0</v>
      </c>
      <c r="I464" s="94" t="s">
        <v>621</v>
      </c>
      <c r="K464" s="221"/>
    </row>
    <row r="465" spans="1:9" ht="12.75">
      <c r="A465" s="181">
        <f t="shared" si="43"/>
        <v>245</v>
      </c>
      <c r="B465" s="189">
        <v>42972095</v>
      </c>
      <c r="C465" s="222" t="s">
        <v>520</v>
      </c>
      <c r="D465" s="223" t="s">
        <v>134</v>
      </c>
      <c r="E465" s="224" t="s">
        <v>1</v>
      </c>
      <c r="F465" s="3">
        <v>1</v>
      </c>
      <c r="G465" s="333"/>
      <c r="H465" s="225">
        <f t="shared" si="42"/>
        <v>0</v>
      </c>
      <c r="I465" s="94" t="s">
        <v>621</v>
      </c>
    </row>
    <row r="466" spans="1:10" s="11" customFormat="1" ht="25.5">
      <c r="A466" s="181">
        <f t="shared" si="43"/>
        <v>246</v>
      </c>
      <c r="B466" s="13" t="s">
        <v>146</v>
      </c>
      <c r="C466" s="19"/>
      <c r="D466" s="14" t="s">
        <v>256</v>
      </c>
      <c r="E466" s="8" t="s">
        <v>1</v>
      </c>
      <c r="F466" s="4">
        <v>1</v>
      </c>
      <c r="G466" s="331"/>
      <c r="H466" s="9">
        <f t="shared" si="42"/>
        <v>0</v>
      </c>
      <c r="I466" s="32" t="s">
        <v>618</v>
      </c>
      <c r="J466" s="10"/>
    </row>
    <row r="467" spans="1:10" s="11" customFormat="1" ht="13.5" thickBot="1">
      <c r="A467" s="181">
        <f t="shared" si="43"/>
        <v>247</v>
      </c>
      <c r="B467" s="182" t="s">
        <v>64</v>
      </c>
      <c r="C467" s="19"/>
      <c r="D467" s="14" t="s">
        <v>536</v>
      </c>
      <c r="E467" s="266" t="s">
        <v>10</v>
      </c>
      <c r="F467" s="4">
        <f>+H448+H449+H450+H451+H452+H453+H454+H455+H456+H459+H461+H463+H465</f>
        <v>0</v>
      </c>
      <c r="G467" s="343"/>
      <c r="H467" s="267">
        <f t="shared" si="42"/>
        <v>0</v>
      </c>
      <c r="I467" s="32" t="s">
        <v>621</v>
      </c>
      <c r="J467" s="10"/>
    </row>
    <row r="468" spans="1:8" ht="13.5" thickBot="1">
      <c r="A468" s="181"/>
      <c r="B468" s="189"/>
      <c r="C468" s="183"/>
      <c r="D468" s="162" t="s">
        <v>3</v>
      </c>
      <c r="E468" s="163"/>
      <c r="F468" s="227"/>
      <c r="G468" s="228"/>
      <c r="H468" s="203">
        <f>SUM(H447:H467)</f>
        <v>0</v>
      </c>
    </row>
    <row r="469" spans="1:8" ht="12.75">
      <c r="A469" s="181"/>
      <c r="B469" s="189"/>
      <c r="C469" s="183"/>
      <c r="D469" s="204"/>
      <c r="E469" s="168"/>
      <c r="F469" s="68"/>
      <c r="G469" s="110"/>
      <c r="H469" s="205"/>
    </row>
    <row r="470" spans="1:10" s="11" customFormat="1" ht="16.5">
      <c r="A470" s="188"/>
      <c r="B470" s="214"/>
      <c r="C470" s="268" t="s">
        <v>781</v>
      </c>
      <c r="D470" s="269" t="s">
        <v>659</v>
      </c>
      <c r="E470" s="270"/>
      <c r="F470" s="206"/>
      <c r="G470" s="270"/>
      <c r="H470" s="270"/>
      <c r="I470" s="32"/>
      <c r="J470" s="10"/>
    </row>
    <row r="471" spans="1:10" s="11" customFormat="1" ht="52.5" customHeight="1">
      <c r="A471" s="188"/>
      <c r="B471" s="214"/>
      <c r="C471" s="271"/>
      <c r="D471" s="306" t="s">
        <v>853</v>
      </c>
      <c r="E471" s="306"/>
      <c r="F471" s="306"/>
      <c r="G471" s="237"/>
      <c r="H471" s="237"/>
      <c r="I471" s="32"/>
      <c r="J471" s="10"/>
    </row>
    <row r="472" spans="1:11" s="11" customFormat="1" ht="25.5">
      <c r="A472" s="188">
        <f>A467+1</f>
        <v>248</v>
      </c>
      <c r="B472" s="5" t="s">
        <v>482</v>
      </c>
      <c r="C472" s="16" t="s">
        <v>520</v>
      </c>
      <c r="D472" s="218" t="s">
        <v>437</v>
      </c>
      <c r="E472" s="219" t="s">
        <v>4</v>
      </c>
      <c r="F472" s="12">
        <v>1</v>
      </c>
      <c r="G472" s="333"/>
      <c r="H472" s="220">
        <f>F472*G472</f>
        <v>0</v>
      </c>
      <c r="I472" s="32" t="s">
        <v>621</v>
      </c>
      <c r="J472" s="10"/>
      <c r="K472" s="11" t="s">
        <v>190</v>
      </c>
    </row>
    <row r="473" spans="1:11" s="11" customFormat="1" ht="16.5">
      <c r="A473" s="188">
        <f>A472+1</f>
        <v>249</v>
      </c>
      <c r="B473" s="5" t="s">
        <v>483</v>
      </c>
      <c r="C473" s="16" t="s">
        <v>520</v>
      </c>
      <c r="D473" s="218" t="s">
        <v>438</v>
      </c>
      <c r="E473" s="219" t="s">
        <v>4</v>
      </c>
      <c r="F473" s="12">
        <v>1</v>
      </c>
      <c r="G473" s="333"/>
      <c r="H473" s="220">
        <f>F473*G473</f>
        <v>0</v>
      </c>
      <c r="I473" s="32" t="s">
        <v>621</v>
      </c>
      <c r="J473" s="10"/>
      <c r="K473" s="221" t="s">
        <v>439</v>
      </c>
    </row>
    <row r="474" spans="1:10" s="11" customFormat="1" ht="12.75">
      <c r="A474" s="188">
        <f>A473+1</f>
        <v>250</v>
      </c>
      <c r="B474" s="187" t="s">
        <v>47</v>
      </c>
      <c r="C474" s="16" t="s">
        <v>521</v>
      </c>
      <c r="D474" s="14" t="s">
        <v>440</v>
      </c>
      <c r="E474" s="14" t="s">
        <v>4</v>
      </c>
      <c r="F474" s="4">
        <v>2</v>
      </c>
      <c r="G474" s="331"/>
      <c r="H474" s="9">
        <f>F474*G474</f>
        <v>0</v>
      </c>
      <c r="I474" s="32" t="s">
        <v>621</v>
      </c>
      <c r="J474" s="10"/>
    </row>
    <row r="475" spans="1:10" s="11" customFormat="1" ht="12.75">
      <c r="A475" s="188">
        <f>A474+1</f>
        <v>251</v>
      </c>
      <c r="B475" s="13" t="s">
        <v>144</v>
      </c>
      <c r="C475" s="19"/>
      <c r="D475" s="14" t="s">
        <v>39</v>
      </c>
      <c r="E475" s="8" t="s">
        <v>1</v>
      </c>
      <c r="F475" s="4">
        <v>1</v>
      </c>
      <c r="G475" s="331"/>
      <c r="H475" s="9">
        <f>F475*G475</f>
        <v>0</v>
      </c>
      <c r="I475" s="272" t="s">
        <v>618</v>
      </c>
      <c r="J475" s="10"/>
    </row>
    <row r="476" spans="1:10" s="11" customFormat="1" ht="13.5" thickBot="1">
      <c r="A476" s="188">
        <f>A475+1</f>
        <v>252</v>
      </c>
      <c r="B476" s="182" t="s">
        <v>64</v>
      </c>
      <c r="C476" s="19"/>
      <c r="D476" s="14" t="s">
        <v>536</v>
      </c>
      <c r="E476" s="8" t="s">
        <v>10</v>
      </c>
      <c r="F476" s="4">
        <f>+H472+H473</f>
        <v>0</v>
      </c>
      <c r="G476" s="343"/>
      <c r="H476" s="267">
        <f>F476*G476</f>
        <v>0</v>
      </c>
      <c r="I476" s="272" t="s">
        <v>618</v>
      </c>
      <c r="J476" s="10"/>
    </row>
    <row r="477" spans="1:10" s="11" customFormat="1" ht="13.5" thickBot="1">
      <c r="A477" s="188"/>
      <c r="B477" s="214"/>
      <c r="C477" s="19"/>
      <c r="D477" s="162" t="s">
        <v>3</v>
      </c>
      <c r="E477" s="163"/>
      <c r="F477" s="273"/>
      <c r="G477" s="165"/>
      <c r="H477" s="203">
        <f>SUBTOTAL(9,H472:H476)</f>
        <v>0</v>
      </c>
      <c r="I477" s="32"/>
      <c r="J477" s="10"/>
    </row>
    <row r="478" spans="1:9" ht="12.75">
      <c r="A478" s="181"/>
      <c r="B478" s="189"/>
      <c r="C478" s="183"/>
      <c r="D478" s="204"/>
      <c r="E478" s="168"/>
      <c r="F478" s="68"/>
      <c r="G478" s="110"/>
      <c r="H478" s="205"/>
      <c r="I478" s="94"/>
    </row>
    <row r="479" spans="1:10" s="11" customFormat="1" ht="16.5">
      <c r="A479" s="188"/>
      <c r="B479" s="214"/>
      <c r="C479" s="268" t="s">
        <v>782</v>
      </c>
      <c r="D479" s="269" t="s">
        <v>854</v>
      </c>
      <c r="E479" s="270"/>
      <c r="F479" s="206"/>
      <c r="G479" s="270"/>
      <c r="H479" s="270"/>
      <c r="I479" s="32"/>
      <c r="J479" s="10"/>
    </row>
    <row r="480" spans="1:10" s="11" customFormat="1" ht="56.25" customHeight="1">
      <c r="A480" s="188"/>
      <c r="B480" s="214"/>
      <c r="C480" s="271"/>
      <c r="D480" s="306" t="s">
        <v>853</v>
      </c>
      <c r="E480" s="306"/>
      <c r="F480" s="306"/>
      <c r="G480" s="237"/>
      <c r="H480" s="237"/>
      <c r="I480" s="32"/>
      <c r="J480" s="10"/>
    </row>
    <row r="481" spans="1:24" s="11" customFormat="1" ht="12.75">
      <c r="A481" s="188">
        <f>A476+1</f>
        <v>253</v>
      </c>
      <c r="B481" s="13" t="s">
        <v>51</v>
      </c>
      <c r="C481" s="19"/>
      <c r="D481" s="261" t="s">
        <v>24</v>
      </c>
      <c r="E481" s="8" t="s">
        <v>5</v>
      </c>
      <c r="F481" s="4">
        <v>18.6</v>
      </c>
      <c r="G481" s="331"/>
      <c r="H481" s="9">
        <f aca="true" t="shared" si="44" ref="H481:H505">F481*G481</f>
        <v>0</v>
      </c>
      <c r="I481" s="94" t="s">
        <v>618</v>
      </c>
      <c r="J481" s="10"/>
      <c r="M481" s="103"/>
      <c r="V481" s="10"/>
      <c r="W481" s="10"/>
      <c r="X481" s="10"/>
    </row>
    <row r="482" spans="1:24" s="11" customFormat="1" ht="12.75">
      <c r="A482" s="188">
        <f aca="true" t="shared" si="45" ref="A482:A491">A481+1</f>
        <v>254</v>
      </c>
      <c r="B482" s="214" t="s">
        <v>145</v>
      </c>
      <c r="C482" s="19"/>
      <c r="D482" s="226" t="s">
        <v>15</v>
      </c>
      <c r="E482" s="8" t="s">
        <v>4</v>
      </c>
      <c r="F482" s="4">
        <v>1</v>
      </c>
      <c r="G482" s="331"/>
      <c r="H482" s="9">
        <f t="shared" si="44"/>
        <v>0</v>
      </c>
      <c r="I482" s="94" t="s">
        <v>618</v>
      </c>
      <c r="J482" s="10"/>
      <c r="M482" s="103"/>
      <c r="V482" s="10"/>
      <c r="W482" s="10"/>
      <c r="X482" s="10"/>
    </row>
    <row r="483" spans="1:24" s="11" customFormat="1" ht="12.75">
      <c r="A483" s="188">
        <f t="shared" si="45"/>
        <v>255</v>
      </c>
      <c r="B483" s="187" t="s">
        <v>441</v>
      </c>
      <c r="C483" s="16"/>
      <c r="D483" s="261" t="s">
        <v>442</v>
      </c>
      <c r="E483" s="8" t="s">
        <v>4</v>
      </c>
      <c r="F483" s="4">
        <v>1</v>
      </c>
      <c r="G483" s="331"/>
      <c r="H483" s="9">
        <f t="shared" si="44"/>
        <v>0</v>
      </c>
      <c r="I483" s="32" t="s">
        <v>618</v>
      </c>
      <c r="J483" s="10"/>
      <c r="M483" s="103"/>
      <c r="V483" s="10"/>
      <c r="W483" s="10"/>
      <c r="X483" s="10"/>
    </row>
    <row r="484" spans="1:24" s="11" customFormat="1" ht="12.75">
      <c r="A484" s="188">
        <f t="shared" si="45"/>
        <v>256</v>
      </c>
      <c r="B484" s="5" t="s">
        <v>25</v>
      </c>
      <c r="C484" s="16"/>
      <c r="D484" s="261" t="s">
        <v>26</v>
      </c>
      <c r="E484" s="8" t="s">
        <v>6</v>
      </c>
      <c r="F484" s="4">
        <f>(2.46/1000)*F481+0.1</f>
        <v>0.145756</v>
      </c>
      <c r="G484" s="331"/>
      <c r="H484" s="9">
        <f t="shared" si="44"/>
        <v>0</v>
      </c>
      <c r="I484" s="32" t="s">
        <v>618</v>
      </c>
      <c r="J484" s="10"/>
      <c r="M484" s="103"/>
      <c r="V484" s="10"/>
      <c r="W484" s="10"/>
      <c r="X484" s="10"/>
    </row>
    <row r="485" spans="1:24" s="11" customFormat="1" ht="12.75">
      <c r="A485" s="188">
        <f t="shared" si="45"/>
        <v>257</v>
      </c>
      <c r="B485" s="5" t="s">
        <v>443</v>
      </c>
      <c r="C485" s="16"/>
      <c r="D485" s="261" t="s">
        <v>444</v>
      </c>
      <c r="E485" s="8" t="s">
        <v>4</v>
      </c>
      <c r="F485" s="4">
        <v>1</v>
      </c>
      <c r="G485" s="331"/>
      <c r="H485" s="9">
        <f t="shared" si="44"/>
        <v>0</v>
      </c>
      <c r="I485" s="32" t="s">
        <v>618</v>
      </c>
      <c r="J485" s="10"/>
      <c r="M485" s="103"/>
      <c r="V485" s="10"/>
      <c r="W485" s="10"/>
      <c r="X485" s="10"/>
    </row>
    <row r="486" spans="1:24" s="11" customFormat="1" ht="12.75">
      <c r="A486" s="188">
        <f t="shared" si="45"/>
        <v>258</v>
      </c>
      <c r="B486" s="5" t="s">
        <v>27</v>
      </c>
      <c r="C486" s="19"/>
      <c r="D486" s="261" t="s">
        <v>38</v>
      </c>
      <c r="E486" s="8" t="s">
        <v>1</v>
      </c>
      <c r="F486" s="4">
        <v>1</v>
      </c>
      <c r="G486" s="331"/>
      <c r="H486" s="9">
        <f t="shared" si="44"/>
        <v>0</v>
      </c>
      <c r="I486" s="32" t="s">
        <v>618</v>
      </c>
      <c r="J486" s="10"/>
      <c r="M486" s="103"/>
      <c r="V486" s="10"/>
      <c r="W486" s="10"/>
      <c r="X486" s="10"/>
    </row>
    <row r="487" spans="1:24" s="11" customFormat="1" ht="25.5">
      <c r="A487" s="188">
        <f t="shared" si="45"/>
        <v>259</v>
      </c>
      <c r="B487" s="5" t="s">
        <v>736</v>
      </c>
      <c r="C487" s="19"/>
      <c r="D487" s="261" t="s">
        <v>206</v>
      </c>
      <c r="E487" s="8" t="s">
        <v>5</v>
      </c>
      <c r="F487" s="4">
        <f>3.2+2.9+9.9+2.9</f>
        <v>18.9</v>
      </c>
      <c r="G487" s="331"/>
      <c r="H487" s="9">
        <f t="shared" si="44"/>
        <v>0</v>
      </c>
      <c r="I487" s="32" t="s">
        <v>618</v>
      </c>
      <c r="J487" s="10"/>
      <c r="M487" s="103"/>
      <c r="V487" s="10"/>
      <c r="W487" s="10"/>
      <c r="X487" s="10"/>
    </row>
    <row r="488" spans="1:24" s="11" customFormat="1" ht="25.5">
      <c r="A488" s="188">
        <f t="shared" si="45"/>
        <v>260</v>
      </c>
      <c r="B488" s="5" t="s">
        <v>737</v>
      </c>
      <c r="C488" s="19"/>
      <c r="D488" s="261" t="s">
        <v>207</v>
      </c>
      <c r="E488" s="8" t="s">
        <v>5</v>
      </c>
      <c r="F488" s="4">
        <f>2.05+1.5+5.4+1.5</f>
        <v>10.45</v>
      </c>
      <c r="G488" s="331"/>
      <c r="H488" s="9">
        <f t="shared" si="44"/>
        <v>0</v>
      </c>
      <c r="I488" s="32" t="s">
        <v>618</v>
      </c>
      <c r="J488" s="10"/>
      <c r="M488" s="103"/>
      <c r="V488" s="10"/>
      <c r="W488" s="10"/>
      <c r="X488" s="10"/>
    </row>
    <row r="489" spans="1:24" s="11" customFormat="1" ht="12.75">
      <c r="A489" s="188">
        <f t="shared" si="45"/>
        <v>261</v>
      </c>
      <c r="B489" s="13" t="s">
        <v>46</v>
      </c>
      <c r="C489" s="19"/>
      <c r="D489" s="261" t="s">
        <v>48</v>
      </c>
      <c r="E489" s="8" t="s">
        <v>5</v>
      </c>
      <c r="F489" s="4">
        <f>0.63+0.18+0.5</f>
        <v>1.31</v>
      </c>
      <c r="G489" s="331"/>
      <c r="H489" s="9">
        <f t="shared" si="44"/>
        <v>0</v>
      </c>
      <c r="I489" s="94" t="s">
        <v>618</v>
      </c>
      <c r="M489" s="103"/>
      <c r="V489" s="10"/>
      <c r="W489" s="10"/>
      <c r="X489" s="10"/>
    </row>
    <row r="490" spans="1:24" s="11" customFormat="1" ht="12.75">
      <c r="A490" s="188">
        <f t="shared" si="45"/>
        <v>262</v>
      </c>
      <c r="B490" s="13" t="s">
        <v>50</v>
      </c>
      <c r="C490" s="19"/>
      <c r="D490" s="261" t="s">
        <v>49</v>
      </c>
      <c r="E490" s="8" t="s">
        <v>5</v>
      </c>
      <c r="F490" s="4">
        <v>0.18</v>
      </c>
      <c r="G490" s="331"/>
      <c r="H490" s="9">
        <f t="shared" si="44"/>
        <v>0</v>
      </c>
      <c r="I490" s="94" t="s">
        <v>618</v>
      </c>
      <c r="M490" s="103"/>
      <c r="V490" s="10"/>
      <c r="W490" s="10"/>
      <c r="X490" s="10"/>
    </row>
    <row r="491" spans="1:24" s="11" customFormat="1" ht="12.75">
      <c r="A491" s="188">
        <f t="shared" si="45"/>
        <v>263</v>
      </c>
      <c r="B491" s="13" t="s">
        <v>450</v>
      </c>
      <c r="C491" s="19"/>
      <c r="D491" s="261" t="s">
        <v>451</v>
      </c>
      <c r="E491" s="8" t="s">
        <v>4</v>
      </c>
      <c r="F491" s="4">
        <v>3</v>
      </c>
      <c r="G491" s="331"/>
      <c r="H491" s="9">
        <f t="shared" si="44"/>
        <v>0</v>
      </c>
      <c r="I491" s="94" t="s">
        <v>618</v>
      </c>
      <c r="M491" s="103"/>
      <c r="V491" s="10"/>
      <c r="W491" s="10"/>
      <c r="X491" s="10"/>
    </row>
    <row r="492" spans="1:24" s="11" customFormat="1" ht="12.75">
      <c r="A492" s="188">
        <f aca="true" t="shared" si="46" ref="A492:A505">+A491+1</f>
        <v>264</v>
      </c>
      <c r="B492" s="13" t="s">
        <v>182</v>
      </c>
      <c r="C492" s="19"/>
      <c r="D492" s="261" t="s">
        <v>261</v>
      </c>
      <c r="E492" s="8" t="s">
        <v>2</v>
      </c>
      <c r="F492" s="4">
        <f>0.2*0.2</f>
        <v>0.04000000000000001</v>
      </c>
      <c r="G492" s="331"/>
      <c r="H492" s="9">
        <f t="shared" si="44"/>
        <v>0</v>
      </c>
      <c r="I492" s="94" t="s">
        <v>618</v>
      </c>
      <c r="M492" s="103"/>
      <c r="V492" s="10"/>
      <c r="W492" s="10"/>
      <c r="X492" s="10"/>
    </row>
    <row r="493" spans="1:24" s="11" customFormat="1" ht="12.75">
      <c r="A493" s="188">
        <f t="shared" si="46"/>
        <v>265</v>
      </c>
      <c r="B493" s="13" t="s">
        <v>141</v>
      </c>
      <c r="C493" s="19"/>
      <c r="D493" s="261" t="s">
        <v>140</v>
      </c>
      <c r="E493" s="8" t="s">
        <v>1</v>
      </c>
      <c r="F493" s="4">
        <v>1</v>
      </c>
      <c r="G493" s="331"/>
      <c r="H493" s="9">
        <f t="shared" si="44"/>
        <v>0</v>
      </c>
      <c r="I493" s="94" t="s">
        <v>618</v>
      </c>
      <c r="M493" s="103"/>
      <c r="V493" s="10"/>
      <c r="W493" s="10"/>
      <c r="X493" s="10"/>
    </row>
    <row r="494" spans="1:24" s="11" customFormat="1" ht="12.75">
      <c r="A494" s="188">
        <f t="shared" si="46"/>
        <v>266</v>
      </c>
      <c r="B494" s="13" t="s">
        <v>142</v>
      </c>
      <c r="C494" s="19"/>
      <c r="D494" s="261" t="s">
        <v>143</v>
      </c>
      <c r="E494" s="8" t="s">
        <v>1</v>
      </c>
      <c r="F494" s="4">
        <v>1</v>
      </c>
      <c r="G494" s="331"/>
      <c r="H494" s="9">
        <f t="shared" si="44"/>
        <v>0</v>
      </c>
      <c r="I494" s="94" t="s">
        <v>618</v>
      </c>
      <c r="M494" s="103"/>
      <c r="V494" s="10"/>
      <c r="W494" s="10"/>
      <c r="X494" s="10"/>
    </row>
    <row r="495" spans="1:24" s="11" customFormat="1" ht="12.75">
      <c r="A495" s="188">
        <f t="shared" si="46"/>
        <v>267</v>
      </c>
      <c r="B495" s="214" t="s">
        <v>738</v>
      </c>
      <c r="C495" s="16"/>
      <c r="D495" s="261" t="s">
        <v>855</v>
      </c>
      <c r="E495" s="8" t="s">
        <v>4</v>
      </c>
      <c r="F495" s="4">
        <v>3</v>
      </c>
      <c r="G495" s="331"/>
      <c r="H495" s="9">
        <f t="shared" si="44"/>
        <v>0</v>
      </c>
      <c r="I495" s="94" t="s">
        <v>618</v>
      </c>
      <c r="V495" s="10"/>
      <c r="W495" s="10"/>
      <c r="X495" s="10"/>
    </row>
    <row r="496" spans="1:24" s="11" customFormat="1" ht="38.25">
      <c r="A496" s="188">
        <f t="shared" si="46"/>
        <v>268</v>
      </c>
      <c r="B496" s="214" t="s">
        <v>53</v>
      </c>
      <c r="C496" s="16"/>
      <c r="D496" s="261" t="s">
        <v>54</v>
      </c>
      <c r="E496" s="8" t="s">
        <v>4</v>
      </c>
      <c r="F496" s="4">
        <v>3</v>
      </c>
      <c r="G496" s="331"/>
      <c r="H496" s="9">
        <f t="shared" si="44"/>
        <v>0</v>
      </c>
      <c r="I496" s="94" t="s">
        <v>618</v>
      </c>
      <c r="K496" s="11" t="s">
        <v>52</v>
      </c>
      <c r="V496" s="10"/>
      <c r="W496" s="10"/>
      <c r="X496" s="10"/>
    </row>
    <row r="497" spans="1:10" s="11" customFormat="1" ht="12.75">
      <c r="A497" s="188">
        <f t="shared" si="46"/>
        <v>269</v>
      </c>
      <c r="B497" s="13" t="s">
        <v>455</v>
      </c>
      <c r="C497" s="248" t="s">
        <v>520</v>
      </c>
      <c r="D497" s="218" t="s">
        <v>445</v>
      </c>
      <c r="E497" s="219" t="s">
        <v>4</v>
      </c>
      <c r="F497" s="3">
        <v>1</v>
      </c>
      <c r="G497" s="333"/>
      <c r="H497" s="220">
        <f t="shared" si="44"/>
        <v>0</v>
      </c>
      <c r="I497" s="32" t="s">
        <v>618</v>
      </c>
      <c r="J497" s="10"/>
    </row>
    <row r="498" spans="1:10" s="11" customFormat="1" ht="12.75">
      <c r="A498" s="188">
        <f t="shared" si="46"/>
        <v>270</v>
      </c>
      <c r="B498" s="13" t="s">
        <v>454</v>
      </c>
      <c r="C498" s="248" t="s">
        <v>520</v>
      </c>
      <c r="D498" s="218" t="s">
        <v>446</v>
      </c>
      <c r="E498" s="219" t="s">
        <v>4</v>
      </c>
      <c r="F498" s="3">
        <v>1</v>
      </c>
      <c r="G498" s="333"/>
      <c r="H498" s="220">
        <f t="shared" si="44"/>
        <v>0</v>
      </c>
      <c r="I498" s="32" t="s">
        <v>618</v>
      </c>
      <c r="J498" s="10"/>
    </row>
    <row r="499" spans="1:24" s="11" customFormat="1" ht="16.5">
      <c r="A499" s="188">
        <f t="shared" si="46"/>
        <v>271</v>
      </c>
      <c r="B499" s="13" t="s">
        <v>452</v>
      </c>
      <c r="C499" s="16" t="s">
        <v>521</v>
      </c>
      <c r="D499" s="261" t="s">
        <v>453</v>
      </c>
      <c r="E499" s="8" t="s">
        <v>570</v>
      </c>
      <c r="F499" s="4">
        <v>2</v>
      </c>
      <c r="G499" s="331"/>
      <c r="H499" s="9">
        <f t="shared" si="44"/>
        <v>0</v>
      </c>
      <c r="I499" s="32" t="s">
        <v>618</v>
      </c>
      <c r="K499" s="221"/>
      <c r="V499" s="10"/>
      <c r="W499" s="10"/>
      <c r="X499" s="10"/>
    </row>
    <row r="500" spans="1:24" s="11" customFormat="1" ht="38.25">
      <c r="A500" s="188">
        <f t="shared" si="46"/>
        <v>272</v>
      </c>
      <c r="B500" s="13" t="s">
        <v>484</v>
      </c>
      <c r="C500" s="16"/>
      <c r="D500" s="261" t="s">
        <v>447</v>
      </c>
      <c r="E500" s="8" t="s">
        <v>2</v>
      </c>
      <c r="F500" s="4">
        <f>0.3*(1+0.5)</f>
        <v>0.44999999999999996</v>
      </c>
      <c r="G500" s="331"/>
      <c r="H500" s="9">
        <f t="shared" si="44"/>
        <v>0</v>
      </c>
      <c r="I500" s="32" t="s">
        <v>618</v>
      </c>
      <c r="K500" s="221"/>
      <c r="V500" s="10"/>
      <c r="W500" s="10"/>
      <c r="X500" s="10"/>
    </row>
    <row r="501" spans="1:24" s="11" customFormat="1" ht="25.5">
      <c r="A501" s="188">
        <f t="shared" si="46"/>
        <v>273</v>
      </c>
      <c r="B501" s="13" t="s">
        <v>144</v>
      </c>
      <c r="C501" s="16"/>
      <c r="D501" s="184" t="s">
        <v>739</v>
      </c>
      <c r="E501" s="8" t="s">
        <v>1</v>
      </c>
      <c r="F501" s="4">
        <v>1</v>
      </c>
      <c r="G501" s="331"/>
      <c r="H501" s="9">
        <f t="shared" si="44"/>
        <v>0</v>
      </c>
      <c r="I501" s="94" t="s">
        <v>618</v>
      </c>
      <c r="V501" s="10"/>
      <c r="W501" s="10"/>
      <c r="X501" s="10"/>
    </row>
    <row r="502" spans="1:24" s="11" customFormat="1" ht="25.5">
      <c r="A502" s="188">
        <f t="shared" si="46"/>
        <v>274</v>
      </c>
      <c r="B502" s="13" t="s">
        <v>449</v>
      </c>
      <c r="C502" s="19"/>
      <c r="D502" s="261" t="s">
        <v>448</v>
      </c>
      <c r="E502" s="8" t="s">
        <v>1</v>
      </c>
      <c r="F502" s="4">
        <v>1</v>
      </c>
      <c r="G502" s="331"/>
      <c r="H502" s="9">
        <f t="shared" si="44"/>
        <v>0</v>
      </c>
      <c r="I502" s="32" t="s">
        <v>618</v>
      </c>
      <c r="J502" s="274"/>
      <c r="V502" s="10"/>
      <c r="W502" s="10"/>
      <c r="X502" s="10"/>
    </row>
    <row r="503" spans="1:24" s="11" customFormat="1" ht="12.75">
      <c r="A503" s="188">
        <f t="shared" si="46"/>
        <v>275</v>
      </c>
      <c r="B503" s="13" t="s">
        <v>139</v>
      </c>
      <c r="C503" s="16"/>
      <c r="D503" s="261" t="s">
        <v>856</v>
      </c>
      <c r="E503" s="8" t="s">
        <v>1</v>
      </c>
      <c r="F503" s="4">
        <v>1</v>
      </c>
      <c r="G503" s="331"/>
      <c r="H503" s="9">
        <f t="shared" si="44"/>
        <v>0</v>
      </c>
      <c r="I503" s="94" t="s">
        <v>618</v>
      </c>
      <c r="V503" s="10"/>
      <c r="W503" s="10"/>
      <c r="X503" s="10"/>
    </row>
    <row r="504" spans="1:24" s="11" customFormat="1" ht="12.75">
      <c r="A504" s="188">
        <f t="shared" si="46"/>
        <v>276</v>
      </c>
      <c r="B504" s="13" t="s">
        <v>9</v>
      </c>
      <c r="C504" s="16"/>
      <c r="D504" s="261" t="s">
        <v>138</v>
      </c>
      <c r="E504" s="8" t="s">
        <v>593</v>
      </c>
      <c r="F504" s="4">
        <v>5</v>
      </c>
      <c r="G504" s="331"/>
      <c r="H504" s="9">
        <f t="shared" si="44"/>
        <v>0</v>
      </c>
      <c r="I504" s="94" t="s">
        <v>618</v>
      </c>
      <c r="V504" s="10"/>
      <c r="W504" s="10"/>
      <c r="X504" s="10"/>
    </row>
    <row r="505" spans="1:10" s="11" customFormat="1" ht="13.5" thickBot="1">
      <c r="A505" s="188">
        <f t="shared" si="46"/>
        <v>277</v>
      </c>
      <c r="B505" s="182" t="s">
        <v>64</v>
      </c>
      <c r="C505" s="19"/>
      <c r="D505" s="14" t="s">
        <v>536</v>
      </c>
      <c r="E505" s="8" t="s">
        <v>10</v>
      </c>
      <c r="F505" s="4">
        <f>+H487+H488+H489+H490+H492+H495+H496+H497+H498+H500</f>
        <v>0</v>
      </c>
      <c r="G505" s="343"/>
      <c r="H505" s="267">
        <f t="shared" si="44"/>
        <v>0</v>
      </c>
      <c r="I505" s="32" t="s">
        <v>618</v>
      </c>
      <c r="J505" s="10"/>
    </row>
    <row r="506" spans="1:10" s="11" customFormat="1" ht="13.5" thickBot="1">
      <c r="A506" s="188"/>
      <c r="B506" s="214"/>
      <c r="C506" s="19"/>
      <c r="D506" s="162" t="s">
        <v>3</v>
      </c>
      <c r="E506" s="163"/>
      <c r="F506" s="273"/>
      <c r="G506" s="165"/>
      <c r="H506" s="203">
        <f>SUBTOTAL(9,H481:H505)</f>
        <v>0</v>
      </c>
      <c r="I506" s="32"/>
      <c r="J506" s="10"/>
    </row>
    <row r="507" spans="1:9" ht="12.75">
      <c r="A507" s="181"/>
      <c r="B507" s="189"/>
      <c r="C507" s="183"/>
      <c r="D507" s="204"/>
      <c r="E507" s="168"/>
      <c r="F507" s="68"/>
      <c r="G507" s="110"/>
      <c r="H507" s="205"/>
      <c r="I507" s="94"/>
    </row>
    <row r="508" spans="1:9" ht="16.5">
      <c r="A508" s="181"/>
      <c r="B508" s="189"/>
      <c r="C508" s="275">
        <v>4</v>
      </c>
      <c r="D508" s="146" t="s">
        <v>637</v>
      </c>
      <c r="E508" s="146"/>
      <c r="F508" s="206"/>
      <c r="G508" s="146"/>
      <c r="H508" s="146"/>
      <c r="I508" s="94"/>
    </row>
    <row r="509" spans="1:9" ht="54" customHeight="1">
      <c r="A509" s="181"/>
      <c r="B509" s="189"/>
      <c r="C509" s="176"/>
      <c r="D509" s="306" t="s">
        <v>568</v>
      </c>
      <c r="E509" s="306"/>
      <c r="F509" s="306"/>
      <c r="G509" s="237"/>
      <c r="H509" s="237"/>
      <c r="I509" s="94"/>
    </row>
    <row r="510" spans="1:9" ht="12.75">
      <c r="A510" s="181">
        <f>A505+1</f>
        <v>278</v>
      </c>
      <c r="B510" s="189"/>
      <c r="C510" s="183"/>
      <c r="D510" s="184" t="s">
        <v>565</v>
      </c>
      <c r="E510" s="185" t="s">
        <v>570</v>
      </c>
      <c r="F510" s="2">
        <v>1</v>
      </c>
      <c r="G510" s="15">
        <f>+ESA_ESI!H42</f>
        <v>0</v>
      </c>
      <c r="H510" s="186">
        <f>F510*G510</f>
        <v>0</v>
      </c>
      <c r="I510" s="94" t="s">
        <v>618</v>
      </c>
    </row>
    <row r="511" spans="1:9" ht="12.75">
      <c r="A511" s="181">
        <f>A510+1</f>
        <v>279</v>
      </c>
      <c r="B511" s="189"/>
      <c r="C511" s="183"/>
      <c r="D511" s="184" t="s">
        <v>566</v>
      </c>
      <c r="E511" s="185" t="s">
        <v>570</v>
      </c>
      <c r="F511" s="2">
        <v>1</v>
      </c>
      <c r="G511" s="15">
        <f>+ESA_ESI!H55</f>
        <v>0</v>
      </c>
      <c r="H511" s="186">
        <f>F511*G511</f>
        <v>0</v>
      </c>
      <c r="I511" s="94" t="s">
        <v>618</v>
      </c>
    </row>
    <row r="512" spans="1:9" ht="13.5" thickBot="1">
      <c r="A512" s="181"/>
      <c r="B512" s="189"/>
      <c r="C512" s="183"/>
      <c r="D512" s="135" t="s">
        <v>567</v>
      </c>
      <c r="E512" s="185" t="s">
        <v>570</v>
      </c>
      <c r="F512" s="2">
        <v>1</v>
      </c>
      <c r="G512" s="276">
        <f>ESA_ESI!H60</f>
        <v>0</v>
      </c>
      <c r="H512" s="186">
        <f>F512*G512</f>
        <v>0</v>
      </c>
      <c r="I512" s="94" t="s">
        <v>618</v>
      </c>
    </row>
    <row r="513" spans="1:8" ht="13.5" thickBot="1">
      <c r="A513" s="181"/>
      <c r="B513" s="189"/>
      <c r="C513" s="183"/>
      <c r="D513" s="162" t="s">
        <v>3</v>
      </c>
      <c r="E513" s="163"/>
      <c r="F513" s="227"/>
      <c r="G513" s="228"/>
      <c r="H513" s="203">
        <f>SUBTOTAL(9,H510:H512)</f>
        <v>0</v>
      </c>
    </row>
    <row r="514" spans="1:9" ht="12.75">
      <c r="A514" s="181"/>
      <c r="B514" s="189"/>
      <c r="C514" s="183"/>
      <c r="D514" s="204"/>
      <c r="E514" s="168"/>
      <c r="F514" s="68"/>
      <c r="G514" s="110"/>
      <c r="H514" s="205"/>
      <c r="I514" s="94"/>
    </row>
    <row r="515" spans="1:9" ht="16.5">
      <c r="A515" s="181"/>
      <c r="B515" s="189"/>
      <c r="C515" s="275">
        <v>5</v>
      </c>
      <c r="D515" s="146" t="s">
        <v>638</v>
      </c>
      <c r="E515" s="146"/>
      <c r="F515" s="206"/>
      <c r="G515" s="146"/>
      <c r="H515" s="146"/>
      <c r="I515" s="94"/>
    </row>
    <row r="516" spans="1:11" ht="59.25" customHeight="1">
      <c r="A516" s="181"/>
      <c r="B516" s="189"/>
      <c r="C516" s="176"/>
      <c r="D516" s="306" t="s">
        <v>569</v>
      </c>
      <c r="E516" s="306"/>
      <c r="F516" s="306"/>
      <c r="G516" s="237"/>
      <c r="H516" s="237"/>
      <c r="I516" s="94"/>
      <c r="K516" s="78" t="s">
        <v>635</v>
      </c>
    </row>
    <row r="517" spans="1:9" ht="12.75">
      <c r="A517" s="181">
        <f>+A511+1</f>
        <v>280</v>
      </c>
      <c r="B517" s="189"/>
      <c r="C517" s="183"/>
      <c r="D517" s="184" t="s">
        <v>612</v>
      </c>
      <c r="E517" s="185" t="s">
        <v>570</v>
      </c>
      <c r="F517" s="2">
        <v>1</v>
      </c>
      <c r="G517" s="15">
        <f>+ESA_ESI!H79</f>
        <v>0</v>
      </c>
      <c r="H517" s="186">
        <f>F517*G517</f>
        <v>0</v>
      </c>
      <c r="I517" s="94" t="s">
        <v>618</v>
      </c>
    </row>
    <row r="518" spans="1:9" ht="13.5" thickBot="1">
      <c r="A518" s="181">
        <f>A517+1</f>
        <v>281</v>
      </c>
      <c r="B518" s="189"/>
      <c r="C518" s="183"/>
      <c r="D518" s="184" t="s">
        <v>567</v>
      </c>
      <c r="E518" s="185" t="s">
        <v>570</v>
      </c>
      <c r="F518" s="2">
        <v>1</v>
      </c>
      <c r="G518" s="15">
        <f>+ESA_ESI!H85</f>
        <v>0</v>
      </c>
      <c r="H518" s="186">
        <f>F518*G518</f>
        <v>0</v>
      </c>
      <c r="I518" s="94" t="s">
        <v>618</v>
      </c>
    </row>
    <row r="519" spans="1:11" ht="13.5" thickBot="1">
      <c r="A519" s="181"/>
      <c r="B519" s="189"/>
      <c r="C519" s="183"/>
      <c r="D519" s="162" t="s">
        <v>3</v>
      </c>
      <c r="E519" s="163"/>
      <c r="F519" s="227"/>
      <c r="G519" s="228"/>
      <c r="H519" s="203">
        <f>SUBTOTAL(9,H517:H518)</f>
        <v>0</v>
      </c>
      <c r="J519" s="26"/>
      <c r="K519" s="26"/>
    </row>
    <row r="520" spans="1:11" ht="14.25" customHeight="1">
      <c r="A520" s="181"/>
      <c r="B520" s="189"/>
      <c r="C520" s="183"/>
      <c r="D520" s="204"/>
      <c r="E520" s="168"/>
      <c r="F520" s="68"/>
      <c r="G520" s="110"/>
      <c r="H520" s="205"/>
      <c r="I520" s="94"/>
      <c r="J520" s="26"/>
      <c r="K520" s="26"/>
    </row>
    <row r="521" spans="3:11" ht="16.5">
      <c r="C521" s="176">
        <v>6</v>
      </c>
      <c r="D521" s="146" t="s">
        <v>526</v>
      </c>
      <c r="E521" s="146"/>
      <c r="F521" s="206"/>
      <c r="G521" s="146"/>
      <c r="H521" s="146"/>
      <c r="J521" s="26"/>
      <c r="K521" s="26"/>
    </row>
    <row r="522" spans="1:11" ht="13.5" thickBot="1">
      <c r="A522" s="181">
        <f>A518+1</f>
        <v>282</v>
      </c>
      <c r="B522" s="182" t="s">
        <v>136</v>
      </c>
      <c r="C522" s="183" t="s">
        <v>636</v>
      </c>
      <c r="D522" s="184" t="s">
        <v>137</v>
      </c>
      <c r="E522" s="185" t="s">
        <v>4</v>
      </c>
      <c r="F522" s="2">
        <v>1</v>
      </c>
      <c r="G522" s="331"/>
      <c r="H522" s="186">
        <f>F522*G522</f>
        <v>0</v>
      </c>
      <c r="I522" s="94" t="s">
        <v>621</v>
      </c>
      <c r="J522" s="26"/>
      <c r="K522" s="26"/>
    </row>
    <row r="523" spans="1:11" ht="13.5" thickBot="1">
      <c r="A523" s="181"/>
      <c r="B523" s="189"/>
      <c r="D523" s="162" t="s">
        <v>3</v>
      </c>
      <c r="E523" s="163"/>
      <c r="F523" s="227"/>
      <c r="G523" s="228"/>
      <c r="H523" s="203">
        <f>SUBTOTAL(9,H522:H522)</f>
        <v>0</v>
      </c>
      <c r="I523" s="94"/>
      <c r="J523" s="26"/>
      <c r="K523" s="26"/>
    </row>
    <row r="524" spans="1:11" ht="12.75">
      <c r="A524" s="181"/>
      <c r="B524" s="189"/>
      <c r="D524" s="204"/>
      <c r="E524" s="168"/>
      <c r="F524" s="68"/>
      <c r="G524" s="110"/>
      <c r="H524" s="205"/>
      <c r="I524" s="94"/>
      <c r="J524" s="26"/>
      <c r="K524" s="26"/>
    </row>
  </sheetData>
  <sheetProtection password="C0F8" sheet="1" selectLockedCells="1"/>
  <mergeCells count="40">
    <mergeCell ref="D516:F516"/>
    <mergeCell ref="D68:H68"/>
    <mergeCell ref="D480:F480"/>
    <mergeCell ref="D80:H80"/>
    <mergeCell ref="D81:H81"/>
    <mergeCell ref="D77:H77"/>
    <mergeCell ref="D180:F180"/>
    <mergeCell ref="D379:F379"/>
    <mergeCell ref="D396:F396"/>
    <mergeCell ref="D200:F200"/>
    <mergeCell ref="D107:H107"/>
    <mergeCell ref="D6:H6"/>
    <mergeCell ref="D7:H7"/>
    <mergeCell ref="D64:H64"/>
    <mergeCell ref="D65:H65"/>
    <mergeCell ref="G45:H45"/>
    <mergeCell ref="G36:H36"/>
    <mergeCell ref="D73:H73"/>
    <mergeCell ref="D91:H91"/>
    <mergeCell ref="D71:H71"/>
    <mergeCell ref="D95:H95"/>
    <mergeCell ref="D509:F509"/>
    <mergeCell ref="D350:F350"/>
    <mergeCell ref="D322:F322"/>
    <mergeCell ref="D446:F446"/>
    <mergeCell ref="D471:F471"/>
    <mergeCell ref="D310:F310"/>
    <mergeCell ref="D415:F415"/>
    <mergeCell ref="D279:F279"/>
    <mergeCell ref="D113:H113"/>
    <mergeCell ref="D8:H8"/>
    <mergeCell ref="D9:H9"/>
    <mergeCell ref="D10:H10"/>
    <mergeCell ref="D109:H109"/>
    <mergeCell ref="D66:H66"/>
    <mergeCell ref="D75:H75"/>
    <mergeCell ref="D67:H67"/>
    <mergeCell ref="D78:H78"/>
    <mergeCell ref="D69:H69"/>
    <mergeCell ref="D70:H70"/>
  </mergeCells>
  <conditionalFormatting sqref="D63 E71">
    <cfRule type="expression" priority="105" dxfId="3" stopIfTrue="1">
      <formula>ISTEXT(D63)</formula>
    </cfRule>
  </conditionalFormatting>
  <conditionalFormatting sqref="F71:H71">
    <cfRule type="expression" priority="106" dxfId="3" stopIfTrue="1">
      <formula>ISNUMBER(F71)</formula>
    </cfRule>
  </conditionalFormatting>
  <hyperlinks>
    <hyperlink ref="D16" location="Kapitola_2" display="Kapitola_2"/>
    <hyperlink ref="D15" location="Kapitola_1" display="Kapitola_1"/>
    <hyperlink ref="D151:H151" location="Rekapitulace_2" display="Stropní deska v úrovni terénu"/>
    <hyperlink ref="D34" location="Dokoncovaci_prace" display="Dokoncovaci_prace"/>
    <hyperlink ref="D113:H113" location="Rekapitulace_1" display="Bourací a přípravné práce"/>
    <hyperlink ref="D179:H179" location="Rekapitulace_2b" display="Živičné izolace"/>
    <hyperlink ref="D199:H199" location="Rekapitulace_2c" display="Povlakové izolace proti vodě"/>
    <hyperlink ref="D378:H378" location="Rekapitulace_2d" display="Izolace tepelné"/>
    <hyperlink ref="D395:H395" location="Rekapitulace_2e" display="Kanalizace"/>
    <hyperlink ref="D414:H414" location="Rekapitulace_2f" display="Konstrukce klempířské"/>
    <hyperlink ref="D18" location="Kapitola_2b" display="Kapitola_2b"/>
    <hyperlink ref="D19" location="Kapitola_2c" display="Kapitola_2c"/>
    <hyperlink ref="D26" location="Kapitola_2d" display="Kapitola_2d"/>
    <hyperlink ref="D27" location="Kapitola_2e" display="Kapitola_2e"/>
    <hyperlink ref="D28" location="Kapitola_2f" display="Kapitola_2f"/>
    <hyperlink ref="D32" location="Kapitola_2g" display="Kapitola_2g"/>
    <hyperlink ref="D508:H508" location="Rekapitulace_2g" display="Elektroinstalace - silnoproud"/>
    <hyperlink ref="D445:H445" location="Rekapitulace_2i" display="Vzduchotechnika"/>
    <hyperlink ref="D515:H515" location="Rekapitulace_2h" display="Elektroinstalace - slaboproud"/>
    <hyperlink ref="D278:H278" location="Rekapitulace_2j" display="Konstrukce truhlářské"/>
    <hyperlink ref="D309:H309" location="Rekapitulace_2k" display="Konstrukce zámečnické"/>
    <hyperlink ref="D321:H321" location="Rekapitulace_2l" display="Podlahy z dlaždic"/>
    <hyperlink ref="D349:H349" location="Rekapitulace_2m" display="Podlahy povlakové"/>
    <hyperlink ref="D33" location="Kapitola_2h" display="Kapitola_2h"/>
    <hyperlink ref="D29" location="Kapitola_2i" display="Kapitola_2i"/>
    <hyperlink ref="D20" location="Kapitola_2j" display="Kapitola_2j"/>
    <hyperlink ref="D21" location="Kapitola_2k" display="Kapitola_2k"/>
    <hyperlink ref="D22" location="Kapitola_2l" display="Kapitola_2l"/>
    <hyperlink ref="D23" location="Kapitola_2m" display="Kapitola_2m"/>
    <hyperlink ref="D521:H521" location="Rekapitulace_Dokončovací_práce" display="Dokončovací práce"/>
    <hyperlink ref="D470:H470" location="Rekapitulace_2h" display="Elektroinstalace - slaboproud"/>
    <hyperlink ref="D479:H479" location="Rekapitulace_2h" display="Elektroinstalace - slaboproud"/>
    <hyperlink ref="D361:H361" location="Rekapitulace_2d" display="Izolace tepelné"/>
    <hyperlink ref="K389" r:id="rId1" display="https://ok-levne.cz/hl138-podomitkovy-sifon-ke-klimatizacnim-jednotkam-dn32-100x100mm.html"/>
    <hyperlink ref="D86" location="Doplňky_dodavatele" display="Doplňky dodavatele"/>
    <hyperlink ref="K297" r:id="rId2" display="https://www.spalensky.com/e/ostatni-drevene-vyrobky-676/dverni-prahy-971/?page=1&amp;sort=title&amp;parameters=2582"/>
    <hyperlink ref="K437" r:id="rId3" display="https://www.vodo-plasttop.cz/podomitkova-zapachova-uzaverka-hl405-sifon-prackovy"/>
    <hyperlink ref="K264" r:id="rId4" display="https://www.siko.cz/lista-ukoncovaci-l-hlinik-10-mm-250-cm-al10250/p/AL10250?gclid=EAIaIQobChMIsYDCpJ7F6QIVie3tCh0zFQanEAAYAyAAEgKzu_D_BwE"/>
    <hyperlink ref="K263" r:id="rId5" display="https://www.siko.cz/lista-ukoncovaci-l-kartacovana-nerez-10-mm-250-cm-nrzk10250/p/NRZK10250"/>
    <hyperlink ref="K293" r:id="rId6" display="https://www.truhlarstvipohan.cz/dvere-silvie/"/>
    <hyperlink ref="K303" r:id="rId7" display="https://www.datart.cz/Vestavna-trouba-MORA-VT-433-BW.html?gclid=EAIaIQobChMIpMnpia_H6QIVGofVCh2towCrEAAYASAAEgKGBfD_BwE"/>
    <hyperlink ref="K315" r:id="rId8" display="https://online.ferona.cz/detail/22304/profil-rovnoramenny-l-z-konstrukcni-oceli-valcovane-za-tepla-en-10056-l-50x50x4"/>
    <hyperlink ref="K357" r:id="rId9" display="https://www.floorwood.cz/prechodova-lista-sroubovaci-obla-stribrna-e01/"/>
    <hyperlink ref="K417" r:id="rId10" display="https://www.siko.cz/umyvadlo-jika-lyra-plus-60x49-cm-otvor-pro-baterii-uprostred-h8143830001041/p/1438.3.000.104.1"/>
    <hyperlink ref="K424" r:id="rId11" display="https://www.siko.cz/sprchova-vanicka-ctvercova-ravak-chrome-90x90-cm-lity-mramor-xa047701010/p/PER90PROCHROM0"/>
    <hyperlink ref="K312" r:id="rId12" display="https://www.hse-dvere-zarubne.cz/data1/download_dok/cenik_zarubne.pdf"/>
  </hyperlink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66" r:id="rId13"/>
  <headerFooter alignWithMargins="0">
    <oddFooter>&amp;CStránka &amp;P z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01"/>
  <sheetViews>
    <sheetView zoomScalePageLayoutView="130" workbookViewId="0" topLeftCell="A52">
      <selection activeCell="N86" sqref="N86"/>
    </sheetView>
  </sheetViews>
  <sheetFormatPr defaultColWidth="9.00390625" defaultRowHeight="12.75"/>
  <cols>
    <col min="1" max="1" width="4.75390625" style="139" customWidth="1"/>
    <col min="2" max="2" width="11.875" style="139" customWidth="1"/>
    <col min="3" max="3" width="44.125" style="11" customWidth="1"/>
    <col min="4" max="4" width="4.625" style="11" customWidth="1"/>
    <col min="5" max="5" width="5.625" style="11" customWidth="1"/>
    <col min="6" max="6" width="7.625" style="11" customWidth="1"/>
    <col min="7" max="7" width="8.75390625" style="11" bestFit="1" customWidth="1"/>
    <col min="8" max="8" width="10.375" style="11" customWidth="1"/>
    <col min="9" max="9" width="2.75390625" style="11" customWidth="1"/>
    <col min="10" max="10" width="0" style="11" hidden="1" customWidth="1"/>
    <col min="11" max="16384" width="9.125" style="11" customWidth="1"/>
  </cols>
  <sheetData>
    <row r="1" spans="1:10" s="278" customFormat="1" ht="21" customHeight="1">
      <c r="A1" s="277"/>
      <c r="B1" s="277"/>
      <c r="C1" s="324" t="s">
        <v>498</v>
      </c>
      <c r="D1" s="324"/>
      <c r="E1" s="325"/>
      <c r="F1" s="325"/>
      <c r="G1" s="325"/>
      <c r="H1" s="325"/>
      <c r="I1" s="325"/>
      <c r="J1" s="325"/>
    </row>
    <row r="2" spans="1:3" s="278" customFormat="1" ht="24" customHeight="1">
      <c r="A2" s="279"/>
      <c r="B2" s="279"/>
      <c r="C2" s="277" t="s">
        <v>573</v>
      </c>
    </row>
    <row r="3" spans="1:3" s="278" customFormat="1" ht="16.5" customHeight="1">
      <c r="A3" s="279"/>
      <c r="B3" s="279"/>
      <c r="C3" s="280" t="s">
        <v>574</v>
      </c>
    </row>
    <row r="4" spans="1:10" s="278" customFormat="1" ht="11.25">
      <c r="A4" s="279"/>
      <c r="B4" s="279" t="s">
        <v>575</v>
      </c>
      <c r="C4" s="281" t="s">
        <v>576</v>
      </c>
      <c r="E4" s="279" t="s">
        <v>7</v>
      </c>
      <c r="F4" s="279" t="s">
        <v>577</v>
      </c>
      <c r="G4" s="279" t="s">
        <v>578</v>
      </c>
      <c r="H4" s="279" t="s">
        <v>8</v>
      </c>
      <c r="I4" s="279"/>
      <c r="J4" s="278" t="s">
        <v>499</v>
      </c>
    </row>
    <row r="5" spans="1:10" s="278" customFormat="1" ht="13.5" customHeight="1">
      <c r="A5" s="279">
        <v>1</v>
      </c>
      <c r="B5" s="279">
        <v>210201064</v>
      </c>
      <c r="C5" s="278" t="s">
        <v>579</v>
      </c>
      <c r="D5" s="278" t="s">
        <v>4</v>
      </c>
      <c r="E5" s="278">
        <v>6</v>
      </c>
      <c r="F5" s="344"/>
      <c r="G5" s="344"/>
      <c r="H5" s="282">
        <f>(F5+G5)*E5</f>
        <v>0</v>
      </c>
      <c r="I5" s="282"/>
      <c r="J5" s="278">
        <f>E5*F5</f>
        <v>0</v>
      </c>
    </row>
    <row r="6" spans="1:10" s="278" customFormat="1" ht="13.5" customHeight="1">
      <c r="A6" s="279">
        <f>A5+1</f>
        <v>2</v>
      </c>
      <c r="B6" s="279">
        <v>210201064</v>
      </c>
      <c r="C6" s="278" t="s">
        <v>500</v>
      </c>
      <c r="D6" s="278" t="s">
        <v>4</v>
      </c>
      <c r="E6" s="278">
        <v>1</v>
      </c>
      <c r="F6" s="344"/>
      <c r="G6" s="344"/>
      <c r="H6" s="282">
        <f aca="true" t="shared" si="0" ref="H6:H41">(F6+G6)*E6</f>
        <v>0</v>
      </c>
      <c r="I6" s="282"/>
      <c r="J6" s="278">
        <f aca="true" t="shared" si="1" ref="J6:J41">E6*F6</f>
        <v>0</v>
      </c>
    </row>
    <row r="7" spans="1:9" s="278" customFormat="1" ht="13.5" customHeight="1">
      <c r="A7" s="279">
        <f aca="true" t="shared" si="2" ref="A7:A41">A6+1</f>
        <v>3</v>
      </c>
      <c r="B7" s="279">
        <v>210201064</v>
      </c>
      <c r="C7" s="278" t="s">
        <v>501</v>
      </c>
      <c r="D7" s="278" t="s">
        <v>4</v>
      </c>
      <c r="E7" s="278">
        <v>1</v>
      </c>
      <c r="F7" s="344"/>
      <c r="G7" s="344"/>
      <c r="H7" s="282">
        <f t="shared" si="0"/>
        <v>0</v>
      </c>
      <c r="I7" s="282"/>
    </row>
    <row r="8" spans="1:10" s="278" customFormat="1" ht="13.5" customHeight="1">
      <c r="A8" s="279">
        <f t="shared" si="2"/>
        <v>4</v>
      </c>
      <c r="B8" s="279">
        <v>210111011</v>
      </c>
      <c r="C8" s="278" t="s">
        <v>581</v>
      </c>
      <c r="D8" s="278" t="s">
        <v>4</v>
      </c>
      <c r="E8" s="278">
        <v>23</v>
      </c>
      <c r="F8" s="344"/>
      <c r="G8" s="344"/>
      <c r="H8" s="282">
        <f t="shared" si="0"/>
        <v>0</v>
      </c>
      <c r="I8" s="282"/>
      <c r="J8" s="278">
        <f t="shared" si="1"/>
        <v>0</v>
      </c>
    </row>
    <row r="9" spans="1:9" s="278" customFormat="1" ht="13.5" customHeight="1">
      <c r="A9" s="279">
        <f t="shared" si="2"/>
        <v>5</v>
      </c>
      <c r="B9" s="279">
        <v>210111011</v>
      </c>
      <c r="C9" s="278" t="s">
        <v>582</v>
      </c>
      <c r="D9" s="278" t="s">
        <v>4</v>
      </c>
      <c r="E9" s="278">
        <v>1</v>
      </c>
      <c r="F9" s="344"/>
      <c r="G9" s="344"/>
      <c r="H9" s="282">
        <f t="shared" si="0"/>
        <v>0</v>
      </c>
      <c r="I9" s="282"/>
    </row>
    <row r="10" spans="1:10" s="278" customFormat="1" ht="13.5" customHeight="1">
      <c r="A10" s="279">
        <f t="shared" si="2"/>
        <v>6</v>
      </c>
      <c r="B10" s="279">
        <v>210110001</v>
      </c>
      <c r="C10" s="278" t="s">
        <v>583</v>
      </c>
      <c r="D10" s="278" t="s">
        <v>4</v>
      </c>
      <c r="E10" s="278">
        <v>3</v>
      </c>
      <c r="F10" s="344"/>
      <c r="G10" s="344"/>
      <c r="H10" s="282">
        <f t="shared" si="0"/>
        <v>0</v>
      </c>
      <c r="I10" s="282"/>
      <c r="J10" s="278">
        <f t="shared" si="1"/>
        <v>0</v>
      </c>
    </row>
    <row r="11" spans="1:10" s="278" customFormat="1" ht="13.5" customHeight="1">
      <c r="A11" s="279">
        <f t="shared" si="2"/>
        <v>7</v>
      </c>
      <c r="B11" s="279">
        <v>210110003</v>
      </c>
      <c r="C11" s="278" t="s">
        <v>502</v>
      </c>
      <c r="D11" s="278" t="s">
        <v>4</v>
      </c>
      <c r="E11" s="278">
        <v>1</v>
      </c>
      <c r="F11" s="344"/>
      <c r="G11" s="344"/>
      <c r="H11" s="282">
        <f t="shared" si="0"/>
        <v>0</v>
      </c>
      <c r="I11" s="282"/>
      <c r="J11" s="278">
        <f t="shared" si="1"/>
        <v>0</v>
      </c>
    </row>
    <row r="12" spans="1:10" s="278" customFormat="1" ht="13.5" customHeight="1">
      <c r="A12" s="279">
        <f t="shared" si="2"/>
        <v>8</v>
      </c>
      <c r="B12" s="279">
        <v>210110045</v>
      </c>
      <c r="C12" s="278" t="s">
        <v>740</v>
      </c>
      <c r="D12" s="278" t="s">
        <v>4</v>
      </c>
      <c r="E12" s="278">
        <v>6</v>
      </c>
      <c r="F12" s="344"/>
      <c r="G12" s="344"/>
      <c r="H12" s="282">
        <f>(F12+G12)*E12</f>
        <v>0</v>
      </c>
      <c r="I12" s="282"/>
      <c r="J12" s="278">
        <f t="shared" si="1"/>
        <v>0</v>
      </c>
    </row>
    <row r="13" spans="1:9" s="278" customFormat="1" ht="13.5" customHeight="1">
      <c r="A13" s="279">
        <f t="shared" si="2"/>
        <v>9</v>
      </c>
      <c r="B13" s="279">
        <v>210150171</v>
      </c>
      <c r="C13" s="278" t="s">
        <v>497</v>
      </c>
      <c r="D13" s="278" t="s">
        <v>4</v>
      </c>
      <c r="E13" s="278">
        <v>1</v>
      </c>
      <c r="F13" s="344"/>
      <c r="G13" s="344"/>
      <c r="H13" s="282">
        <f>(F13+G13)*E13</f>
        <v>0</v>
      </c>
      <c r="I13" s="282"/>
    </row>
    <row r="14" spans="1:9" s="278" customFormat="1" ht="13.5" customHeight="1">
      <c r="A14" s="279">
        <f t="shared" si="2"/>
        <v>10</v>
      </c>
      <c r="B14" s="279">
        <v>210110047</v>
      </c>
      <c r="C14" s="278" t="s">
        <v>503</v>
      </c>
      <c r="D14" s="278" t="s">
        <v>4</v>
      </c>
      <c r="E14" s="278">
        <v>2</v>
      </c>
      <c r="F14" s="344"/>
      <c r="G14" s="344"/>
      <c r="H14" s="282">
        <f>(F14+G14)*E14</f>
        <v>0</v>
      </c>
      <c r="I14" s="282"/>
    </row>
    <row r="15" spans="1:10" s="278" customFormat="1" ht="13.5" customHeight="1">
      <c r="A15" s="279">
        <f t="shared" si="2"/>
        <v>11</v>
      </c>
      <c r="B15" s="279" t="s">
        <v>580</v>
      </c>
      <c r="C15" s="278" t="s">
        <v>584</v>
      </c>
      <c r="D15" s="278" t="s">
        <v>4</v>
      </c>
      <c r="E15" s="278">
        <v>18</v>
      </c>
      <c r="F15" s="344"/>
      <c r="G15" s="344"/>
      <c r="H15" s="282">
        <f t="shared" si="0"/>
        <v>0</v>
      </c>
      <c r="I15" s="282"/>
      <c r="J15" s="278">
        <f t="shared" si="1"/>
        <v>0</v>
      </c>
    </row>
    <row r="16" spans="1:10" s="278" customFormat="1" ht="13.5" customHeight="1">
      <c r="A16" s="279">
        <f t="shared" si="2"/>
        <v>12</v>
      </c>
      <c r="B16" s="279" t="s">
        <v>580</v>
      </c>
      <c r="C16" s="278" t="s">
        <v>585</v>
      </c>
      <c r="D16" s="278" t="s">
        <v>4</v>
      </c>
      <c r="E16" s="278">
        <v>6</v>
      </c>
      <c r="F16" s="344"/>
      <c r="G16" s="344"/>
      <c r="H16" s="282">
        <f t="shared" si="0"/>
        <v>0</v>
      </c>
      <c r="I16" s="282"/>
      <c r="J16" s="278">
        <f t="shared" si="1"/>
        <v>0</v>
      </c>
    </row>
    <row r="17" spans="1:13" s="278" customFormat="1" ht="13.5" customHeight="1">
      <c r="A17" s="279">
        <f t="shared" si="2"/>
        <v>13</v>
      </c>
      <c r="B17" s="279" t="s">
        <v>580</v>
      </c>
      <c r="C17" s="283" t="s">
        <v>741</v>
      </c>
      <c r="D17" s="278" t="s">
        <v>4</v>
      </c>
      <c r="E17" s="283">
        <v>2</v>
      </c>
      <c r="F17" s="345"/>
      <c r="G17" s="344"/>
      <c r="H17" s="282">
        <f t="shared" si="0"/>
        <v>0</v>
      </c>
      <c r="I17" s="282"/>
      <c r="J17" s="278">
        <f t="shared" si="1"/>
        <v>0</v>
      </c>
      <c r="M17" s="283"/>
    </row>
    <row r="18" spans="1:13" s="278" customFormat="1" ht="13.5" customHeight="1">
      <c r="A18" s="279">
        <f t="shared" si="2"/>
        <v>14</v>
      </c>
      <c r="B18" s="279" t="s">
        <v>580</v>
      </c>
      <c r="C18" s="283" t="s">
        <v>504</v>
      </c>
      <c r="D18" s="278" t="s">
        <v>4</v>
      </c>
      <c r="E18" s="283">
        <v>1</v>
      </c>
      <c r="F18" s="345"/>
      <c r="G18" s="344"/>
      <c r="H18" s="282">
        <f t="shared" si="0"/>
        <v>0</v>
      </c>
      <c r="I18" s="282"/>
      <c r="M18" s="283"/>
    </row>
    <row r="19" spans="1:13" s="278" customFormat="1" ht="13.5" customHeight="1">
      <c r="A19" s="279">
        <f t="shared" si="2"/>
        <v>15</v>
      </c>
      <c r="B19" s="279" t="s">
        <v>580</v>
      </c>
      <c r="C19" s="283" t="s">
        <v>505</v>
      </c>
      <c r="D19" s="278" t="s">
        <v>4</v>
      </c>
      <c r="E19" s="283">
        <v>1</v>
      </c>
      <c r="F19" s="345"/>
      <c r="G19" s="344"/>
      <c r="H19" s="282">
        <f t="shared" si="0"/>
        <v>0</v>
      </c>
      <c r="I19" s="282"/>
      <c r="J19" s="278">
        <f t="shared" si="1"/>
        <v>0</v>
      </c>
      <c r="M19" s="284"/>
    </row>
    <row r="20" spans="1:10" s="278" customFormat="1" ht="13.5" customHeight="1">
      <c r="A20" s="279">
        <f t="shared" si="2"/>
        <v>16</v>
      </c>
      <c r="B20" s="279">
        <v>210220321</v>
      </c>
      <c r="C20" s="278" t="s">
        <v>640</v>
      </c>
      <c r="D20" s="278" t="s">
        <v>4</v>
      </c>
      <c r="E20" s="278">
        <v>2</v>
      </c>
      <c r="F20" s="344"/>
      <c r="G20" s="344"/>
      <c r="H20" s="282">
        <f t="shared" si="0"/>
        <v>0</v>
      </c>
      <c r="I20" s="282"/>
      <c r="J20" s="278">
        <f t="shared" si="1"/>
        <v>0</v>
      </c>
    </row>
    <row r="21" spans="1:10" s="278" customFormat="1" ht="13.5" customHeight="1">
      <c r="A21" s="279">
        <f t="shared" si="2"/>
        <v>17</v>
      </c>
      <c r="B21" s="279">
        <v>210010301</v>
      </c>
      <c r="C21" s="278" t="s">
        <v>586</v>
      </c>
      <c r="D21" s="278" t="s">
        <v>4</v>
      </c>
      <c r="E21" s="278">
        <v>37</v>
      </c>
      <c r="F21" s="344"/>
      <c r="G21" s="344"/>
      <c r="H21" s="282">
        <f t="shared" si="0"/>
        <v>0</v>
      </c>
      <c r="I21" s="282"/>
      <c r="J21" s="278">
        <f t="shared" si="1"/>
        <v>0</v>
      </c>
    </row>
    <row r="22" spans="1:10" s="278" customFormat="1" ht="13.5" customHeight="1">
      <c r="A22" s="279">
        <f t="shared" si="2"/>
        <v>18</v>
      </c>
      <c r="B22" s="279">
        <v>210010321</v>
      </c>
      <c r="C22" s="278" t="s">
        <v>641</v>
      </c>
      <c r="D22" s="278" t="s">
        <v>4</v>
      </c>
      <c r="E22" s="278">
        <v>6</v>
      </c>
      <c r="F22" s="344"/>
      <c r="G22" s="344"/>
      <c r="H22" s="282">
        <f t="shared" si="0"/>
        <v>0</v>
      </c>
      <c r="I22" s="282"/>
      <c r="J22" s="278">
        <f t="shared" si="1"/>
        <v>0</v>
      </c>
    </row>
    <row r="23" spans="1:10" s="278" customFormat="1" ht="13.5" customHeight="1">
      <c r="A23" s="279">
        <f t="shared" si="2"/>
        <v>19</v>
      </c>
      <c r="B23" s="279">
        <v>211010011</v>
      </c>
      <c r="C23" s="278" t="s">
        <v>587</v>
      </c>
      <c r="D23" s="278" t="s">
        <v>4</v>
      </c>
      <c r="E23" s="278">
        <v>30</v>
      </c>
      <c r="F23" s="344"/>
      <c r="G23" s="344"/>
      <c r="H23" s="282">
        <f t="shared" si="0"/>
        <v>0</v>
      </c>
      <c r="I23" s="282"/>
      <c r="J23" s="278">
        <f t="shared" si="1"/>
        <v>0</v>
      </c>
    </row>
    <row r="24" spans="1:10" s="278" customFormat="1" ht="13.5" customHeight="1">
      <c r="A24" s="279">
        <f t="shared" si="2"/>
        <v>20</v>
      </c>
      <c r="B24" s="279">
        <v>210800024</v>
      </c>
      <c r="C24" s="278" t="s">
        <v>742</v>
      </c>
      <c r="D24" s="278" t="s">
        <v>5</v>
      </c>
      <c r="E24" s="278">
        <v>180</v>
      </c>
      <c r="F24" s="344"/>
      <c r="G24" s="344"/>
      <c r="H24" s="282">
        <f t="shared" si="0"/>
        <v>0</v>
      </c>
      <c r="I24" s="282"/>
      <c r="J24" s="278">
        <f t="shared" si="1"/>
        <v>0</v>
      </c>
    </row>
    <row r="25" spans="1:10" s="278" customFormat="1" ht="13.5" customHeight="1">
      <c r="A25" s="279">
        <f t="shared" si="2"/>
        <v>21</v>
      </c>
      <c r="B25" s="279">
        <v>210800022</v>
      </c>
      <c r="C25" s="278" t="s">
        <v>743</v>
      </c>
      <c r="D25" s="278" t="s">
        <v>5</v>
      </c>
      <c r="E25" s="278">
        <v>20</v>
      </c>
      <c r="F25" s="344"/>
      <c r="G25" s="344"/>
      <c r="H25" s="282">
        <f t="shared" si="0"/>
        <v>0</v>
      </c>
      <c r="I25" s="282"/>
      <c r="J25" s="278">
        <f t="shared" si="1"/>
        <v>0</v>
      </c>
    </row>
    <row r="26" spans="1:10" s="278" customFormat="1" ht="13.5" customHeight="1">
      <c r="A26" s="279">
        <f t="shared" si="2"/>
        <v>22</v>
      </c>
      <c r="B26" s="279">
        <v>210800023</v>
      </c>
      <c r="C26" s="278" t="s">
        <v>744</v>
      </c>
      <c r="D26" s="278" t="s">
        <v>5</v>
      </c>
      <c r="E26" s="278">
        <v>30</v>
      </c>
      <c r="F26" s="344"/>
      <c r="G26" s="344"/>
      <c r="H26" s="282">
        <f t="shared" si="0"/>
        <v>0</v>
      </c>
      <c r="I26" s="282"/>
      <c r="J26" s="278">
        <f t="shared" si="1"/>
        <v>0</v>
      </c>
    </row>
    <row r="27" spans="1:10" s="278" customFormat="1" ht="13.5" customHeight="1">
      <c r="A27" s="279">
        <f t="shared" si="2"/>
        <v>23</v>
      </c>
      <c r="B27" s="279">
        <v>210800023</v>
      </c>
      <c r="C27" s="278" t="s">
        <v>745</v>
      </c>
      <c r="D27" s="278" t="s">
        <v>5</v>
      </c>
      <c r="E27" s="278">
        <v>80</v>
      </c>
      <c r="F27" s="344"/>
      <c r="G27" s="344"/>
      <c r="H27" s="282">
        <f t="shared" si="0"/>
        <v>0</v>
      </c>
      <c r="I27" s="282"/>
      <c r="J27" s="278">
        <f t="shared" si="1"/>
        <v>0</v>
      </c>
    </row>
    <row r="28" spans="1:10" s="278" customFormat="1" ht="13.5" customHeight="1">
      <c r="A28" s="279">
        <f t="shared" si="2"/>
        <v>24</v>
      </c>
      <c r="B28" s="279">
        <v>210810115</v>
      </c>
      <c r="C28" s="278" t="s">
        <v>746</v>
      </c>
      <c r="D28" s="278" t="s">
        <v>5</v>
      </c>
      <c r="E28" s="278">
        <v>20</v>
      </c>
      <c r="F28" s="344"/>
      <c r="G28" s="344"/>
      <c r="H28" s="282">
        <f t="shared" si="0"/>
        <v>0</v>
      </c>
      <c r="I28" s="282"/>
      <c r="J28" s="278">
        <f t="shared" si="1"/>
        <v>0</v>
      </c>
    </row>
    <row r="29" spans="1:10" s="278" customFormat="1" ht="13.5" customHeight="1">
      <c r="A29" s="279">
        <f t="shared" si="2"/>
        <v>25</v>
      </c>
      <c r="B29" s="279">
        <v>210800506</v>
      </c>
      <c r="C29" s="278" t="s">
        <v>588</v>
      </c>
      <c r="D29" s="278" t="s">
        <v>5</v>
      </c>
      <c r="E29" s="278">
        <v>16</v>
      </c>
      <c r="F29" s="344"/>
      <c r="G29" s="344"/>
      <c r="H29" s="282">
        <f t="shared" si="0"/>
        <v>0</v>
      </c>
      <c r="I29" s="282"/>
      <c r="J29" s="278">
        <f t="shared" si="1"/>
        <v>0</v>
      </c>
    </row>
    <row r="30" spans="1:10" s="278" customFormat="1" ht="12.75" customHeight="1">
      <c r="A30" s="279">
        <f t="shared" si="2"/>
        <v>26</v>
      </c>
      <c r="B30" s="279">
        <v>210190001</v>
      </c>
      <c r="C30" s="278" t="s">
        <v>589</v>
      </c>
      <c r="D30" s="278" t="s">
        <v>4</v>
      </c>
      <c r="E30" s="278">
        <v>1</v>
      </c>
      <c r="F30" s="282"/>
      <c r="G30" s="344"/>
      <c r="H30" s="282">
        <f t="shared" si="0"/>
        <v>0</v>
      </c>
      <c r="I30" s="282"/>
      <c r="J30" s="278">
        <f t="shared" si="1"/>
        <v>0</v>
      </c>
    </row>
    <row r="31" spans="1:9" s="278" customFormat="1" ht="12.75" customHeight="1">
      <c r="A31" s="279">
        <f t="shared" si="2"/>
        <v>27</v>
      </c>
      <c r="B31" s="279">
        <v>210110081</v>
      </c>
      <c r="C31" s="278" t="s">
        <v>506</v>
      </c>
      <c r="D31" s="278" t="s">
        <v>4</v>
      </c>
      <c r="E31" s="278">
        <v>1</v>
      </c>
      <c r="F31" s="344"/>
      <c r="G31" s="344"/>
      <c r="H31" s="282">
        <f t="shared" si="0"/>
        <v>0</v>
      </c>
      <c r="I31" s="282"/>
    </row>
    <row r="32" spans="1:10" s="278" customFormat="1" ht="12.75" customHeight="1">
      <c r="A32" s="279">
        <f t="shared" si="2"/>
        <v>28</v>
      </c>
      <c r="B32" s="279">
        <v>210292041</v>
      </c>
      <c r="C32" s="278" t="s">
        <v>590</v>
      </c>
      <c r="D32" s="278" t="s">
        <v>4</v>
      </c>
      <c r="E32" s="278">
        <v>40</v>
      </c>
      <c r="F32" s="282"/>
      <c r="G32" s="344"/>
      <c r="H32" s="282">
        <f t="shared" si="0"/>
        <v>0</v>
      </c>
      <c r="I32" s="282"/>
      <c r="J32" s="278">
        <f t="shared" si="1"/>
        <v>0</v>
      </c>
    </row>
    <row r="33" spans="1:10" s="278" customFormat="1" ht="12.75" customHeight="1">
      <c r="A33" s="279">
        <f t="shared" si="2"/>
        <v>29</v>
      </c>
      <c r="B33" s="279">
        <v>210100001</v>
      </c>
      <c r="C33" s="278" t="s">
        <v>642</v>
      </c>
      <c r="D33" s="278" t="s">
        <v>4</v>
      </c>
      <c r="E33" s="278">
        <v>40</v>
      </c>
      <c r="F33" s="282"/>
      <c r="G33" s="344"/>
      <c r="H33" s="282">
        <f t="shared" si="0"/>
        <v>0</v>
      </c>
      <c r="I33" s="282"/>
      <c r="J33" s="278">
        <f t="shared" si="1"/>
        <v>0</v>
      </c>
    </row>
    <row r="34" spans="1:10" s="278" customFormat="1" ht="12.75" customHeight="1">
      <c r="A34" s="279">
        <f t="shared" si="2"/>
        <v>30</v>
      </c>
      <c r="B34" s="279">
        <v>210100281</v>
      </c>
      <c r="C34" s="278" t="s">
        <v>747</v>
      </c>
      <c r="D34" s="278" t="s">
        <v>4</v>
      </c>
      <c r="E34" s="278">
        <v>1</v>
      </c>
      <c r="F34" s="282"/>
      <c r="G34" s="344"/>
      <c r="H34" s="282">
        <f t="shared" si="0"/>
        <v>0</v>
      </c>
      <c r="I34" s="282"/>
      <c r="J34" s="278">
        <f t="shared" si="1"/>
        <v>0</v>
      </c>
    </row>
    <row r="35" spans="1:10" s="278" customFormat="1" ht="12.75" customHeight="1">
      <c r="A35" s="279">
        <f t="shared" si="2"/>
        <v>31</v>
      </c>
      <c r="B35" s="279">
        <v>974051215</v>
      </c>
      <c r="C35" s="278" t="s">
        <v>748</v>
      </c>
      <c r="D35" s="278" t="s">
        <v>5</v>
      </c>
      <c r="E35" s="278">
        <v>90</v>
      </c>
      <c r="F35" s="282"/>
      <c r="G35" s="344"/>
      <c r="H35" s="282">
        <f t="shared" si="0"/>
        <v>0</v>
      </c>
      <c r="I35" s="282"/>
      <c r="J35" s="278">
        <f t="shared" si="1"/>
        <v>0</v>
      </c>
    </row>
    <row r="36" spans="1:10" s="278" customFormat="1" ht="12.75" customHeight="1">
      <c r="A36" s="279">
        <f t="shared" si="2"/>
        <v>32</v>
      </c>
      <c r="B36" s="279">
        <v>210040721</v>
      </c>
      <c r="C36" s="278" t="s">
        <v>643</v>
      </c>
      <c r="D36" s="278" t="s">
        <v>4</v>
      </c>
      <c r="E36" s="278">
        <v>4</v>
      </c>
      <c r="F36" s="282"/>
      <c r="G36" s="344"/>
      <c r="H36" s="282">
        <f t="shared" si="0"/>
        <v>0</v>
      </c>
      <c r="I36" s="282"/>
      <c r="J36" s="278">
        <f t="shared" si="1"/>
        <v>0</v>
      </c>
    </row>
    <row r="37" spans="1:10" s="278" customFormat="1" ht="12.75" customHeight="1">
      <c r="A37" s="279">
        <f t="shared" si="2"/>
        <v>33</v>
      </c>
      <c r="B37" s="279">
        <v>974054208</v>
      </c>
      <c r="C37" s="278" t="s">
        <v>644</v>
      </c>
      <c r="D37" s="278" t="s">
        <v>4</v>
      </c>
      <c r="E37" s="278">
        <v>43</v>
      </c>
      <c r="F37" s="282"/>
      <c r="G37" s="344"/>
      <c r="H37" s="282">
        <f t="shared" si="0"/>
        <v>0</v>
      </c>
      <c r="I37" s="282"/>
      <c r="J37" s="278">
        <f t="shared" si="1"/>
        <v>0</v>
      </c>
    </row>
    <row r="38" spans="1:10" s="278" customFormat="1" ht="12.75" customHeight="1">
      <c r="A38" s="279">
        <f t="shared" si="2"/>
        <v>34</v>
      </c>
      <c r="B38" s="279" t="s">
        <v>580</v>
      </c>
      <c r="C38" s="278" t="s">
        <v>507</v>
      </c>
      <c r="D38" s="278" t="s">
        <v>4</v>
      </c>
      <c r="E38" s="278">
        <v>3</v>
      </c>
      <c r="F38" s="282"/>
      <c r="G38" s="344"/>
      <c r="H38" s="282">
        <f t="shared" si="0"/>
        <v>0</v>
      </c>
      <c r="I38" s="282"/>
      <c r="J38" s="278">
        <f t="shared" si="1"/>
        <v>0</v>
      </c>
    </row>
    <row r="39" spans="1:9" s="278" customFormat="1" ht="12.75" customHeight="1">
      <c r="A39" s="279">
        <f t="shared" si="2"/>
        <v>35</v>
      </c>
      <c r="B39" s="279" t="s">
        <v>580</v>
      </c>
      <c r="C39" s="278" t="s">
        <v>591</v>
      </c>
      <c r="D39" s="278" t="s">
        <v>592</v>
      </c>
      <c r="E39" s="278">
        <v>1</v>
      </c>
      <c r="F39" s="282"/>
      <c r="G39" s="344"/>
      <c r="H39" s="282">
        <f t="shared" si="0"/>
        <v>0</v>
      </c>
      <c r="I39" s="282"/>
    </row>
    <row r="40" spans="1:9" s="278" customFormat="1" ht="12.75" customHeight="1">
      <c r="A40" s="279">
        <f t="shared" si="2"/>
        <v>36</v>
      </c>
      <c r="B40" s="279" t="s">
        <v>9</v>
      </c>
      <c r="C40" s="278" t="s">
        <v>645</v>
      </c>
      <c r="D40" s="278" t="s">
        <v>593</v>
      </c>
      <c r="E40" s="278">
        <v>24</v>
      </c>
      <c r="F40" s="282"/>
      <c r="G40" s="344"/>
      <c r="H40" s="282">
        <f t="shared" si="0"/>
        <v>0</v>
      </c>
      <c r="I40" s="282"/>
    </row>
    <row r="41" spans="1:10" s="278" customFormat="1" ht="12.75" customHeight="1">
      <c r="A41" s="279">
        <f t="shared" si="2"/>
        <v>37</v>
      </c>
      <c r="B41" s="279" t="s">
        <v>9</v>
      </c>
      <c r="C41" s="278" t="s">
        <v>594</v>
      </c>
      <c r="D41" s="278" t="s">
        <v>593</v>
      </c>
      <c r="E41" s="278">
        <v>24</v>
      </c>
      <c r="F41" s="282"/>
      <c r="G41" s="344"/>
      <c r="H41" s="282">
        <f t="shared" si="0"/>
        <v>0</v>
      </c>
      <c r="I41" s="282"/>
      <c r="J41" s="278">
        <f t="shared" si="1"/>
        <v>0</v>
      </c>
    </row>
    <row r="42" spans="1:10" s="278" customFormat="1" ht="12.75" customHeight="1">
      <c r="A42" s="279"/>
      <c r="B42" s="279"/>
      <c r="C42" s="281" t="s">
        <v>595</v>
      </c>
      <c r="F42" s="282"/>
      <c r="G42" s="282"/>
      <c r="H42" s="285">
        <f>SUM(H5:H41)</f>
        <v>0</v>
      </c>
      <c r="I42" s="285"/>
      <c r="J42" s="278">
        <f>SUM(J5:J41)</f>
        <v>0</v>
      </c>
    </row>
    <row r="43" spans="1:9" s="278" customFormat="1" ht="12.75" customHeight="1">
      <c r="A43" s="279"/>
      <c r="B43" s="279"/>
      <c r="C43" s="281"/>
      <c r="F43" s="282"/>
      <c r="G43" s="282"/>
      <c r="H43" s="285"/>
      <c r="I43" s="285"/>
    </row>
    <row r="44" spans="1:9" s="278" customFormat="1" ht="12.75" customHeight="1">
      <c r="A44" s="279"/>
      <c r="B44" s="279"/>
      <c r="C44" s="281" t="s">
        <v>749</v>
      </c>
      <c r="F44" s="282"/>
      <c r="G44" s="282"/>
      <c r="H44" s="282"/>
      <c r="I44" s="282"/>
    </row>
    <row r="45" spans="1:10" s="278" customFormat="1" ht="12.75" customHeight="1">
      <c r="A45" s="279">
        <f>A41+1</f>
        <v>38</v>
      </c>
      <c r="B45" s="279"/>
      <c r="C45" s="278" t="s">
        <v>508</v>
      </c>
      <c r="D45" s="278" t="s">
        <v>4</v>
      </c>
      <c r="E45" s="278">
        <v>1</v>
      </c>
      <c r="F45" s="344"/>
      <c r="G45" s="282"/>
      <c r="H45" s="282">
        <f aca="true" t="shared" si="3" ref="H45:H54">(F45+G45)*E45</f>
        <v>0</v>
      </c>
      <c r="I45" s="282"/>
      <c r="J45" s="278">
        <f>E45*F45</f>
        <v>0</v>
      </c>
    </row>
    <row r="46" spans="1:9" s="278" customFormat="1" ht="12.75" customHeight="1">
      <c r="A46" s="279">
        <f>A45+1</f>
        <v>39</v>
      </c>
      <c r="B46" s="279"/>
      <c r="C46" s="278" t="s">
        <v>509</v>
      </c>
      <c r="D46" s="278" t="s">
        <v>4</v>
      </c>
      <c r="E46" s="278">
        <v>1</v>
      </c>
      <c r="F46" s="344"/>
      <c r="G46" s="282"/>
      <c r="H46" s="282">
        <f t="shared" si="3"/>
        <v>0</v>
      </c>
      <c r="I46" s="282"/>
    </row>
    <row r="47" spans="1:10" s="278" customFormat="1" ht="12.75" customHeight="1">
      <c r="A47" s="279">
        <f aca="true" t="shared" si="4" ref="A47:A54">A46+1</f>
        <v>40</v>
      </c>
      <c r="B47" s="279"/>
      <c r="C47" s="278" t="s">
        <v>510</v>
      </c>
      <c r="D47" s="278" t="s">
        <v>4</v>
      </c>
      <c r="E47" s="278">
        <v>1</v>
      </c>
      <c r="F47" s="344"/>
      <c r="G47" s="282"/>
      <c r="H47" s="282">
        <f t="shared" si="3"/>
        <v>0</v>
      </c>
      <c r="I47" s="282"/>
      <c r="J47" s="278">
        <f aca="true" t="shared" si="5" ref="J47:J54">E47*F47</f>
        <v>0</v>
      </c>
    </row>
    <row r="48" spans="1:10" s="278" customFormat="1" ht="12.75" customHeight="1">
      <c r="A48" s="279">
        <f t="shared" si="4"/>
        <v>41</v>
      </c>
      <c r="B48" s="279"/>
      <c r="C48" s="278" t="s">
        <v>646</v>
      </c>
      <c r="D48" s="278" t="s">
        <v>4</v>
      </c>
      <c r="E48" s="278">
        <v>1</v>
      </c>
      <c r="F48" s="344"/>
      <c r="G48" s="282"/>
      <c r="H48" s="282">
        <f t="shared" si="3"/>
        <v>0</v>
      </c>
      <c r="I48" s="282"/>
      <c r="J48" s="278">
        <f t="shared" si="5"/>
        <v>0</v>
      </c>
    </row>
    <row r="49" spans="1:10" s="278" customFormat="1" ht="12.75" customHeight="1">
      <c r="A49" s="279">
        <f t="shared" si="4"/>
        <v>42</v>
      </c>
      <c r="B49" s="279"/>
      <c r="C49" s="278" t="s">
        <v>511</v>
      </c>
      <c r="D49" s="278" t="s">
        <v>4</v>
      </c>
      <c r="E49" s="278">
        <v>1</v>
      </c>
      <c r="F49" s="344"/>
      <c r="G49" s="282"/>
      <c r="H49" s="282">
        <f t="shared" si="3"/>
        <v>0</v>
      </c>
      <c r="I49" s="282"/>
      <c r="J49" s="278">
        <f t="shared" si="5"/>
        <v>0</v>
      </c>
    </row>
    <row r="50" spans="1:10" s="278" customFormat="1" ht="12.75" customHeight="1">
      <c r="A50" s="279">
        <f t="shared" si="4"/>
        <v>43</v>
      </c>
      <c r="B50" s="279"/>
      <c r="C50" s="278" t="s">
        <v>750</v>
      </c>
      <c r="D50" s="278" t="s">
        <v>4</v>
      </c>
      <c r="E50" s="278">
        <v>1</v>
      </c>
      <c r="F50" s="344"/>
      <c r="G50" s="282"/>
      <c r="H50" s="282">
        <f t="shared" si="3"/>
        <v>0</v>
      </c>
      <c r="I50" s="282"/>
      <c r="J50" s="278">
        <f t="shared" si="5"/>
        <v>0</v>
      </c>
    </row>
    <row r="51" spans="1:9" s="278" customFormat="1" ht="12.75" customHeight="1">
      <c r="A51" s="279">
        <f t="shared" si="4"/>
        <v>44</v>
      </c>
      <c r="B51" s="279"/>
      <c r="C51" s="278" t="s">
        <v>751</v>
      </c>
      <c r="D51" s="278" t="s">
        <v>4</v>
      </c>
      <c r="E51" s="278">
        <v>9</v>
      </c>
      <c r="F51" s="344"/>
      <c r="G51" s="282"/>
      <c r="H51" s="282">
        <f t="shared" si="3"/>
        <v>0</v>
      </c>
      <c r="I51" s="282"/>
    </row>
    <row r="52" spans="1:9" s="278" customFormat="1" ht="12.75" customHeight="1">
      <c r="A52" s="279">
        <f t="shared" si="4"/>
        <v>45</v>
      </c>
      <c r="B52" s="279"/>
      <c r="C52" s="278" t="s">
        <v>596</v>
      </c>
      <c r="D52" s="278" t="s">
        <v>5</v>
      </c>
      <c r="E52" s="278">
        <v>0.5</v>
      </c>
      <c r="F52" s="344"/>
      <c r="G52" s="282"/>
      <c r="H52" s="282">
        <f t="shared" si="3"/>
        <v>0</v>
      </c>
      <c r="I52" s="282"/>
    </row>
    <row r="53" spans="1:9" s="278" customFormat="1" ht="12.75" customHeight="1">
      <c r="A53" s="279">
        <f t="shared" si="4"/>
        <v>46</v>
      </c>
      <c r="B53" s="279"/>
      <c r="C53" s="278" t="s">
        <v>752</v>
      </c>
      <c r="D53" s="278" t="s">
        <v>1</v>
      </c>
      <c r="E53" s="278">
        <v>1</v>
      </c>
      <c r="F53" s="344"/>
      <c r="G53" s="282"/>
      <c r="H53" s="282">
        <f t="shared" si="3"/>
        <v>0</v>
      </c>
      <c r="I53" s="282"/>
    </row>
    <row r="54" spans="1:10" s="278" customFormat="1" ht="12.75" customHeight="1">
      <c r="A54" s="279">
        <f t="shared" si="4"/>
        <v>47</v>
      </c>
      <c r="B54" s="279"/>
      <c r="C54" s="278" t="s">
        <v>597</v>
      </c>
      <c r="D54" s="278" t="s">
        <v>1</v>
      </c>
      <c r="E54" s="278">
        <v>1</v>
      </c>
      <c r="F54" s="282"/>
      <c r="G54" s="344"/>
      <c r="H54" s="282">
        <f t="shared" si="3"/>
        <v>0</v>
      </c>
      <c r="I54" s="282"/>
      <c r="J54" s="278">
        <f t="shared" si="5"/>
        <v>0</v>
      </c>
    </row>
    <row r="55" spans="1:10" s="278" customFormat="1" ht="12.75" customHeight="1">
      <c r="A55" s="279"/>
      <c r="B55" s="279"/>
      <c r="C55" s="281" t="s">
        <v>753</v>
      </c>
      <c r="H55" s="285">
        <f>SUM(H45:H54)</f>
        <v>0</v>
      </c>
      <c r="I55" s="285"/>
      <c r="J55" s="278">
        <f>SUM(J45:J54)</f>
        <v>0</v>
      </c>
    </row>
    <row r="56" spans="1:9" s="278" customFormat="1" ht="12.75" customHeight="1">
      <c r="A56" s="279"/>
      <c r="B56" s="279"/>
      <c r="C56" s="281"/>
      <c r="H56" s="285"/>
      <c r="I56" s="285"/>
    </row>
    <row r="57" spans="1:3" s="278" customFormat="1" ht="12.75" customHeight="1">
      <c r="A57" s="279"/>
      <c r="B57" s="279"/>
      <c r="C57" s="281" t="s">
        <v>567</v>
      </c>
    </row>
    <row r="58" spans="1:12" s="278" customFormat="1" ht="11.25">
      <c r="A58" s="279">
        <f>A54+1</f>
        <v>48</v>
      </c>
      <c r="B58" s="279"/>
      <c r="C58" s="286" t="s">
        <v>512</v>
      </c>
      <c r="D58" s="278" t="s">
        <v>10</v>
      </c>
      <c r="E58" s="346"/>
      <c r="F58" s="282"/>
      <c r="G58" s="347">
        <f>SUM(H42,H55)</f>
        <v>0</v>
      </c>
      <c r="H58" s="282">
        <f>E58*G58</f>
        <v>0</v>
      </c>
      <c r="I58" s="287"/>
      <c r="J58" s="278">
        <f>E58*F58</f>
        <v>0</v>
      </c>
      <c r="K58" s="288"/>
      <c r="L58" s="289"/>
    </row>
    <row r="59" spans="1:12" s="278" customFormat="1" ht="11.25">
      <c r="A59" s="279">
        <f>A58+1</f>
        <v>49</v>
      </c>
      <c r="B59" s="279"/>
      <c r="C59" s="286" t="s">
        <v>761</v>
      </c>
      <c r="D59" s="278" t="s">
        <v>10</v>
      </c>
      <c r="E59" s="346"/>
      <c r="F59" s="282"/>
      <c r="G59" s="347">
        <f>G58</f>
        <v>0</v>
      </c>
      <c r="H59" s="282">
        <f>E59*G59</f>
        <v>0</v>
      </c>
      <c r="I59" s="287"/>
      <c r="J59" s="278">
        <f>E59*F59</f>
        <v>0</v>
      </c>
      <c r="K59" s="288"/>
      <c r="L59" s="289"/>
    </row>
    <row r="60" spans="1:10" s="278" customFormat="1" ht="13.5" customHeight="1">
      <c r="A60" s="290"/>
      <c r="B60" s="279"/>
      <c r="C60" s="281" t="s">
        <v>601</v>
      </c>
      <c r="D60" s="281"/>
      <c r="E60" s="291"/>
      <c r="F60" s="281"/>
      <c r="G60" s="281"/>
      <c r="H60" s="285">
        <f>SUM(H58:H59)</f>
        <v>0</v>
      </c>
      <c r="I60" s="289"/>
      <c r="J60" s="278">
        <f>SUM(J58:J59)</f>
        <v>0</v>
      </c>
    </row>
    <row r="61" spans="1:9" s="278" customFormat="1" ht="13.5" customHeight="1">
      <c r="A61" s="290"/>
      <c r="B61" s="279"/>
      <c r="C61" s="281"/>
      <c r="D61" s="281"/>
      <c r="E61" s="291"/>
      <c r="F61" s="281"/>
      <c r="G61" s="281"/>
      <c r="H61" s="285"/>
      <c r="I61" s="289"/>
    </row>
    <row r="62" spans="1:9" s="278" customFormat="1" ht="13.5" customHeight="1">
      <c r="A62" s="290"/>
      <c r="B62" s="279"/>
      <c r="C62" s="281"/>
      <c r="D62" s="281"/>
      <c r="E62" s="291"/>
      <c r="F62" s="281"/>
      <c r="G62" s="281"/>
      <c r="H62" s="285"/>
      <c r="I62" s="289"/>
    </row>
    <row r="63" spans="1:9" s="278" customFormat="1" ht="18" customHeight="1">
      <c r="A63" s="279"/>
      <c r="B63" s="279"/>
      <c r="C63" s="280" t="s">
        <v>598</v>
      </c>
      <c r="H63" s="285"/>
      <c r="I63" s="285"/>
    </row>
    <row r="64" spans="1:9" s="278" customFormat="1" ht="12.75" customHeight="1">
      <c r="A64" s="279"/>
      <c r="B64" s="279"/>
      <c r="C64" s="281" t="s">
        <v>576</v>
      </c>
      <c r="E64" s="279" t="s">
        <v>7</v>
      </c>
      <c r="F64" s="279" t="s">
        <v>577</v>
      </c>
      <c r="G64" s="279" t="s">
        <v>578</v>
      </c>
      <c r="H64" s="279" t="s">
        <v>8</v>
      </c>
      <c r="I64" s="285"/>
    </row>
    <row r="65" spans="1:9" s="278" customFormat="1" ht="12.75" customHeight="1">
      <c r="A65" s="279">
        <v>1</v>
      </c>
      <c r="B65" s="279">
        <v>210111012</v>
      </c>
      <c r="C65" s="278" t="s">
        <v>754</v>
      </c>
      <c r="D65" s="278" t="s">
        <v>4</v>
      </c>
      <c r="E65" s="278">
        <v>3</v>
      </c>
      <c r="F65" s="344"/>
      <c r="G65" s="344"/>
      <c r="H65" s="282">
        <f aca="true" t="shared" si="6" ref="H65:H78">(F65+G65)*E65</f>
        <v>0</v>
      </c>
      <c r="I65" s="282"/>
    </row>
    <row r="66" spans="1:9" s="278" customFormat="1" ht="12.75" customHeight="1">
      <c r="A66" s="279">
        <f aca="true" t="shared" si="7" ref="A66:A78">A65+1</f>
        <v>2</v>
      </c>
      <c r="B66" s="279">
        <v>210111012</v>
      </c>
      <c r="C66" s="278" t="s">
        <v>647</v>
      </c>
      <c r="D66" s="278" t="s">
        <v>4</v>
      </c>
      <c r="E66" s="278">
        <v>1</v>
      </c>
      <c r="F66" s="344"/>
      <c r="G66" s="344"/>
      <c r="H66" s="282">
        <f t="shared" si="6"/>
        <v>0</v>
      </c>
      <c r="I66" s="282"/>
    </row>
    <row r="67" spans="1:9" s="278" customFormat="1" ht="12.75" customHeight="1">
      <c r="A67" s="279">
        <f t="shared" si="7"/>
        <v>3</v>
      </c>
      <c r="B67" s="279">
        <v>210111012</v>
      </c>
      <c r="C67" s="278" t="s">
        <v>257</v>
      </c>
      <c r="D67" s="278" t="s">
        <v>4</v>
      </c>
      <c r="E67" s="278">
        <v>1</v>
      </c>
      <c r="F67" s="344"/>
      <c r="G67" s="348"/>
      <c r="H67" s="282">
        <f t="shared" si="6"/>
        <v>0</v>
      </c>
      <c r="I67" s="282"/>
    </row>
    <row r="68" spans="1:10" s="278" customFormat="1" ht="12.75" customHeight="1">
      <c r="A68" s="279">
        <f t="shared" si="7"/>
        <v>4</v>
      </c>
      <c r="B68" s="279">
        <v>210010301</v>
      </c>
      <c r="C68" s="278" t="s">
        <v>586</v>
      </c>
      <c r="D68" s="278" t="s">
        <v>4</v>
      </c>
      <c r="E68" s="278">
        <v>5</v>
      </c>
      <c r="F68" s="344"/>
      <c r="G68" s="344"/>
      <c r="H68" s="282">
        <f t="shared" si="6"/>
        <v>0</v>
      </c>
      <c r="I68" s="282"/>
      <c r="J68" s="278">
        <f>E68*F68</f>
        <v>0</v>
      </c>
    </row>
    <row r="69" spans="1:9" s="278" customFormat="1" ht="12.75" customHeight="1">
      <c r="A69" s="279">
        <f t="shared" si="7"/>
        <v>5</v>
      </c>
      <c r="B69" s="279">
        <v>210010301</v>
      </c>
      <c r="C69" s="278" t="s">
        <v>755</v>
      </c>
      <c r="D69" s="278" t="s">
        <v>4</v>
      </c>
      <c r="E69" s="278">
        <v>3</v>
      </c>
      <c r="F69" s="344"/>
      <c r="G69" s="344"/>
      <c r="H69" s="282">
        <f t="shared" si="6"/>
        <v>0</v>
      </c>
      <c r="I69" s="282"/>
    </row>
    <row r="70" spans="1:10" s="278" customFormat="1" ht="12.75" customHeight="1">
      <c r="A70" s="279">
        <f t="shared" si="7"/>
        <v>6</v>
      </c>
      <c r="B70" s="279">
        <v>210800549</v>
      </c>
      <c r="C70" s="278" t="s">
        <v>756</v>
      </c>
      <c r="D70" s="278" t="s">
        <v>5</v>
      </c>
      <c r="E70" s="278">
        <v>70</v>
      </c>
      <c r="F70" s="344"/>
      <c r="G70" s="344"/>
      <c r="H70" s="282">
        <f t="shared" si="6"/>
        <v>0</v>
      </c>
      <c r="I70" s="282"/>
      <c r="J70" s="278">
        <f>E70*F70</f>
        <v>0</v>
      </c>
    </row>
    <row r="71" spans="1:9" s="278" customFormat="1" ht="12.75" customHeight="1">
      <c r="A71" s="279">
        <f t="shared" si="7"/>
        <v>7</v>
      </c>
      <c r="B71" s="279">
        <v>210800549</v>
      </c>
      <c r="C71" s="278" t="s">
        <v>757</v>
      </c>
      <c r="D71" s="278" t="s">
        <v>5</v>
      </c>
      <c r="E71" s="278">
        <v>24</v>
      </c>
      <c r="F71" s="344"/>
      <c r="G71" s="344"/>
      <c r="H71" s="282">
        <f t="shared" si="6"/>
        <v>0</v>
      </c>
      <c r="I71" s="282"/>
    </row>
    <row r="72" spans="1:10" s="278" customFormat="1" ht="12.75" customHeight="1">
      <c r="A72" s="279">
        <f t="shared" si="7"/>
        <v>8</v>
      </c>
      <c r="B72" s="279">
        <v>210010002</v>
      </c>
      <c r="C72" s="278" t="s">
        <v>758</v>
      </c>
      <c r="D72" s="278" t="s">
        <v>5</v>
      </c>
      <c r="E72" s="278">
        <v>24</v>
      </c>
      <c r="F72" s="344"/>
      <c r="G72" s="344"/>
      <c r="H72" s="282">
        <f t="shared" si="6"/>
        <v>0</v>
      </c>
      <c r="I72" s="282"/>
      <c r="J72" s="278">
        <f>E72*F72</f>
        <v>0</v>
      </c>
    </row>
    <row r="73" spans="1:9" s="278" customFormat="1" ht="12.75" customHeight="1">
      <c r="A73" s="279">
        <f t="shared" si="7"/>
        <v>9</v>
      </c>
      <c r="B73" s="279">
        <v>974054208</v>
      </c>
      <c r="C73" s="278" t="s">
        <v>644</v>
      </c>
      <c r="D73" s="278" t="s">
        <v>4</v>
      </c>
      <c r="E73" s="278">
        <v>5</v>
      </c>
      <c r="F73" s="282"/>
      <c r="G73" s="344"/>
      <c r="H73" s="282">
        <f t="shared" si="6"/>
        <v>0</v>
      </c>
      <c r="I73" s="282"/>
    </row>
    <row r="74" spans="1:9" s="278" customFormat="1" ht="12.75" customHeight="1">
      <c r="A74" s="279">
        <f t="shared" si="7"/>
        <v>10</v>
      </c>
      <c r="B74" s="279">
        <v>974051215</v>
      </c>
      <c r="C74" s="278" t="s">
        <v>748</v>
      </c>
      <c r="D74" s="278" t="s">
        <v>5</v>
      </c>
      <c r="E74" s="278">
        <v>30</v>
      </c>
      <c r="F74" s="282"/>
      <c r="G74" s="344"/>
      <c r="H74" s="282">
        <f t="shared" si="6"/>
        <v>0</v>
      </c>
      <c r="I74" s="282"/>
    </row>
    <row r="75" spans="1:9" s="278" customFormat="1" ht="12.75" customHeight="1">
      <c r="A75" s="279">
        <f t="shared" si="7"/>
        <v>11</v>
      </c>
      <c r="B75" s="279">
        <v>210292041</v>
      </c>
      <c r="C75" s="278" t="s">
        <v>590</v>
      </c>
      <c r="D75" s="278" t="s">
        <v>4</v>
      </c>
      <c r="E75" s="278">
        <v>3</v>
      </c>
      <c r="F75" s="282"/>
      <c r="G75" s="344"/>
      <c r="H75" s="282">
        <f t="shared" si="6"/>
        <v>0</v>
      </c>
      <c r="I75" s="282"/>
    </row>
    <row r="76" spans="1:10" s="278" customFormat="1" ht="12.75" customHeight="1">
      <c r="A76" s="279">
        <f t="shared" si="7"/>
        <v>12</v>
      </c>
      <c r="B76" s="279">
        <v>210010351</v>
      </c>
      <c r="C76" s="292" t="s">
        <v>759</v>
      </c>
      <c r="D76" s="278" t="s">
        <v>4</v>
      </c>
      <c r="E76" s="278">
        <v>1</v>
      </c>
      <c r="F76" s="344"/>
      <c r="G76" s="344"/>
      <c r="H76" s="282">
        <f t="shared" si="6"/>
        <v>0</v>
      </c>
      <c r="I76" s="282"/>
      <c r="J76" s="278">
        <f>E76*F76</f>
        <v>0</v>
      </c>
    </row>
    <row r="77" spans="1:9" s="278" customFormat="1" ht="12.75" customHeight="1">
      <c r="A77" s="279">
        <f t="shared" si="7"/>
        <v>13</v>
      </c>
      <c r="B77" s="279">
        <v>210140671</v>
      </c>
      <c r="C77" s="292" t="s">
        <v>266</v>
      </c>
      <c r="D77" s="278" t="s">
        <v>4</v>
      </c>
      <c r="E77" s="278">
        <v>1</v>
      </c>
      <c r="F77" s="282"/>
      <c r="G77" s="344"/>
      <c r="H77" s="282">
        <f t="shared" si="6"/>
        <v>0</v>
      </c>
      <c r="I77" s="282"/>
    </row>
    <row r="78" spans="1:9" s="278" customFormat="1" ht="12.75" customHeight="1">
      <c r="A78" s="279">
        <f t="shared" si="7"/>
        <v>14</v>
      </c>
      <c r="B78" s="279">
        <v>210860201</v>
      </c>
      <c r="C78" s="292" t="s">
        <v>760</v>
      </c>
      <c r="D78" s="278" t="s">
        <v>5</v>
      </c>
      <c r="E78" s="278">
        <v>5</v>
      </c>
      <c r="F78" s="344"/>
      <c r="G78" s="344"/>
      <c r="H78" s="282">
        <f t="shared" si="6"/>
        <v>0</v>
      </c>
      <c r="I78" s="282"/>
    </row>
    <row r="79" spans="1:10" s="278" customFormat="1" ht="12.75" customHeight="1">
      <c r="A79" s="279"/>
      <c r="B79" s="279"/>
      <c r="C79" s="281" t="s">
        <v>599</v>
      </c>
      <c r="F79" s="282"/>
      <c r="G79" s="282"/>
      <c r="H79" s="285">
        <f>SUM(H65:H78)</f>
        <v>0</v>
      </c>
      <c r="I79" s="282"/>
      <c r="J79" s="278">
        <f>E79*F79</f>
        <v>0</v>
      </c>
    </row>
    <row r="80" spans="1:9" s="278" customFormat="1" ht="12.75" customHeight="1">
      <c r="A80" s="279"/>
      <c r="B80" s="279"/>
      <c r="C80" s="281"/>
      <c r="F80" s="282"/>
      <c r="G80" s="282"/>
      <c r="H80" s="285"/>
      <c r="I80" s="282"/>
    </row>
    <row r="81" spans="1:9" s="278" customFormat="1" ht="12.75" customHeight="1">
      <c r="A81" s="279"/>
      <c r="B81" s="279"/>
      <c r="C81" s="281"/>
      <c r="F81" s="282"/>
      <c r="G81" s="282"/>
      <c r="H81" s="285"/>
      <c r="I81" s="282"/>
    </row>
    <row r="82" spans="1:3" s="278" customFormat="1" ht="12.75" customHeight="1">
      <c r="A82" s="279"/>
      <c r="B82" s="279"/>
      <c r="C82" s="281" t="s">
        <v>567</v>
      </c>
    </row>
    <row r="83" spans="1:12" s="278" customFormat="1" ht="11.25">
      <c r="A83" s="279">
        <f>A78+1</f>
        <v>15</v>
      </c>
      <c r="B83" s="279"/>
      <c r="C83" s="286" t="s">
        <v>512</v>
      </c>
      <c r="D83" s="278" t="s">
        <v>10</v>
      </c>
      <c r="E83" s="346"/>
      <c r="F83" s="282"/>
      <c r="G83" s="347">
        <f>SUM(H79)</f>
        <v>0</v>
      </c>
      <c r="H83" s="282">
        <f>E83*G83</f>
        <v>0</v>
      </c>
      <c r="I83" s="287"/>
      <c r="J83" s="278">
        <f>E83*F83</f>
        <v>0</v>
      </c>
      <c r="K83" s="288"/>
      <c r="L83" s="289"/>
    </row>
    <row r="84" spans="1:12" s="278" customFormat="1" ht="11.25">
      <c r="A84" s="279">
        <f>A83+1</f>
        <v>16</v>
      </c>
      <c r="B84" s="279"/>
      <c r="C84" s="286" t="s">
        <v>761</v>
      </c>
      <c r="D84" s="278" t="s">
        <v>10</v>
      </c>
      <c r="E84" s="346"/>
      <c r="F84" s="282"/>
      <c r="G84" s="347">
        <f>G83</f>
        <v>0</v>
      </c>
      <c r="H84" s="282">
        <f>E84*G84</f>
        <v>0</v>
      </c>
      <c r="I84" s="287"/>
      <c r="J84" s="278">
        <f>E84*F84</f>
        <v>0</v>
      </c>
      <c r="K84" s="288"/>
      <c r="L84" s="289"/>
    </row>
    <row r="85" spans="1:10" s="278" customFormat="1" ht="13.5" customHeight="1">
      <c r="A85" s="290"/>
      <c r="B85" s="279"/>
      <c r="C85" s="281" t="s">
        <v>601</v>
      </c>
      <c r="D85" s="281"/>
      <c r="E85" s="291"/>
      <c r="F85" s="281"/>
      <c r="G85" s="281"/>
      <c r="H85" s="285">
        <f>SUM(H83:H84)</f>
        <v>0</v>
      </c>
      <c r="I85" s="289"/>
      <c r="J85" s="278">
        <f>SUM(J83:J84)</f>
        <v>0</v>
      </c>
    </row>
    <row r="86" spans="1:9" s="278" customFormat="1" ht="13.5" customHeight="1">
      <c r="A86" s="290"/>
      <c r="B86" s="290"/>
      <c r="C86" s="293"/>
      <c r="D86" s="293"/>
      <c r="E86" s="294"/>
      <c r="F86" s="293"/>
      <c r="G86" s="293"/>
      <c r="H86" s="295"/>
      <c r="I86" s="289"/>
    </row>
    <row r="87" spans="1:11" s="278" customFormat="1" ht="12.75" customHeight="1">
      <c r="A87" s="279"/>
      <c r="B87" s="279"/>
      <c r="C87" s="281" t="s">
        <v>602</v>
      </c>
      <c r="H87" s="285">
        <f>H85+H79+H55+H42+H60</f>
        <v>0</v>
      </c>
      <c r="I87" s="285"/>
      <c r="J87" s="285" t="e">
        <f>#REF!+J55+J42+J85</f>
        <v>#REF!</v>
      </c>
      <c r="K87" s="288"/>
    </row>
    <row r="88" spans="1:11" s="278" customFormat="1" ht="12.75" customHeight="1">
      <c r="A88" s="279"/>
      <c r="B88" s="279"/>
      <c r="C88" s="281" t="s">
        <v>603</v>
      </c>
      <c r="D88" s="296">
        <v>0.15</v>
      </c>
      <c r="H88" s="285">
        <f>H87*D88</f>
        <v>0</v>
      </c>
      <c r="I88" s="285"/>
      <c r="J88" s="285"/>
      <c r="K88" s="288"/>
    </row>
    <row r="89" spans="1:11" s="278" customFormat="1" ht="12.75" customHeight="1">
      <c r="A89" s="279"/>
      <c r="B89" s="279"/>
      <c r="C89" s="281" t="s">
        <v>604</v>
      </c>
      <c r="H89" s="285">
        <f>SUM(H87:H88)</f>
        <v>0</v>
      </c>
      <c r="I89" s="285"/>
      <c r="J89" s="285"/>
      <c r="K89" s="288"/>
    </row>
    <row r="90" spans="1:10" s="278" customFormat="1" ht="12.75" customHeight="1">
      <c r="A90" s="279"/>
      <c r="B90" s="279"/>
      <c r="C90" s="281"/>
      <c r="H90" s="285"/>
      <c r="I90" s="285"/>
      <c r="J90" s="285"/>
    </row>
    <row r="91" spans="1:3" s="278" customFormat="1" ht="13.5" customHeight="1">
      <c r="A91" s="279"/>
      <c r="B91" s="279"/>
      <c r="C91" s="281" t="s">
        <v>605</v>
      </c>
    </row>
    <row r="92" spans="1:9" s="278" customFormat="1" ht="97.5" customHeight="1">
      <c r="A92" s="279"/>
      <c r="B92" s="279"/>
      <c r="C92" s="329" t="s">
        <v>606</v>
      </c>
      <c r="D92" s="329"/>
      <c r="E92" s="329"/>
      <c r="F92" s="329"/>
      <c r="G92" s="329"/>
      <c r="H92" s="329"/>
      <c r="I92" s="297"/>
    </row>
    <row r="93" spans="1:8" s="278" customFormat="1" ht="13.5" customHeight="1">
      <c r="A93" s="279"/>
      <c r="B93" s="279"/>
      <c r="C93" s="330" t="s">
        <v>867</v>
      </c>
      <c r="D93" s="330"/>
      <c r="E93" s="330"/>
      <c r="F93" s="330"/>
      <c r="G93" s="330"/>
      <c r="H93" s="330"/>
    </row>
    <row r="94" spans="1:8" s="278" customFormat="1" ht="13.5" customHeight="1">
      <c r="A94" s="279"/>
      <c r="B94" s="279"/>
      <c r="C94" s="326" t="s">
        <v>607</v>
      </c>
      <c r="D94" s="326"/>
      <c r="E94" s="326"/>
      <c r="F94" s="326"/>
      <c r="G94" s="326"/>
      <c r="H94" s="326"/>
    </row>
    <row r="95" spans="1:8" s="278" customFormat="1" ht="27.75" customHeight="1">
      <c r="A95" s="279"/>
      <c r="B95" s="279"/>
      <c r="C95" s="327" t="s">
        <v>608</v>
      </c>
      <c r="D95" s="327"/>
      <c r="E95" s="327"/>
      <c r="F95" s="327"/>
      <c r="G95" s="327"/>
      <c r="H95" s="327"/>
    </row>
    <row r="96" spans="1:8" s="278" customFormat="1" ht="13.5" customHeight="1">
      <c r="A96" s="279"/>
      <c r="B96" s="279"/>
      <c r="C96" s="326" t="s">
        <v>609</v>
      </c>
      <c r="D96" s="326"/>
      <c r="E96" s="326"/>
      <c r="F96" s="326"/>
      <c r="G96" s="326"/>
      <c r="H96" s="326"/>
    </row>
    <row r="97" spans="1:8" s="278" customFormat="1" ht="13.5" customHeight="1">
      <c r="A97" s="279"/>
      <c r="B97" s="279"/>
      <c r="C97" s="328" t="s">
        <v>610</v>
      </c>
      <c r="D97" s="328"/>
      <c r="E97" s="328"/>
      <c r="F97" s="328"/>
      <c r="G97" s="328"/>
      <c r="H97" s="328"/>
    </row>
    <row r="98" spans="1:8" s="278" customFormat="1" ht="13.5" customHeight="1">
      <c r="A98" s="279"/>
      <c r="B98" s="279"/>
      <c r="C98" s="298" t="s">
        <v>611</v>
      </c>
      <c r="D98" s="298"/>
      <c r="E98" s="298"/>
      <c r="F98" s="298"/>
      <c r="G98" s="298"/>
      <c r="H98" s="298"/>
    </row>
    <row r="99" spans="3:8" ht="31.5" customHeight="1">
      <c r="C99" s="327" t="s">
        <v>871</v>
      </c>
      <c r="D99" s="327"/>
      <c r="E99" s="327"/>
      <c r="F99" s="327"/>
      <c r="G99" s="327"/>
      <c r="H99" s="327"/>
    </row>
    <row r="100" spans="3:8" ht="27" customHeight="1">
      <c r="C100" s="327" t="s">
        <v>0</v>
      </c>
      <c r="D100" s="327"/>
      <c r="E100" s="327"/>
      <c r="F100" s="327"/>
      <c r="G100" s="327"/>
      <c r="H100" s="327"/>
    </row>
    <row r="101" spans="3:8" ht="15" customHeight="1">
      <c r="C101" s="327" t="s">
        <v>538</v>
      </c>
      <c r="D101" s="327"/>
      <c r="E101" s="327"/>
      <c r="F101" s="327"/>
      <c r="G101" s="327"/>
      <c r="H101" s="327"/>
    </row>
  </sheetData>
  <sheetProtection password="C0F8" sheet="1"/>
  <mergeCells count="10">
    <mergeCell ref="C1:J1"/>
    <mergeCell ref="C96:H96"/>
    <mergeCell ref="C100:H100"/>
    <mergeCell ref="C101:H101"/>
    <mergeCell ref="C97:H97"/>
    <mergeCell ref="C95:H95"/>
    <mergeCell ref="C99:H99"/>
    <mergeCell ref="C92:H92"/>
    <mergeCell ref="C94:H94"/>
    <mergeCell ref="C93:H93"/>
  </mergeCells>
  <conditionalFormatting sqref="C93">
    <cfRule type="expression" priority="1" dxfId="3" stopIfTrue="1">
      <formula>ISTEXT(C93)</formula>
    </cfRule>
  </conditionalFormatting>
  <printOptions gridLines="1"/>
  <pageMargins left="0.7086614173228347" right="0.7086614173228347" top="0.7874015748031497" bottom="0.7874015748031497" header="0.31496062992125984" footer="0.31496062992125984"/>
  <pageSetup fitToHeight="0" fitToWidth="1" horizontalDpi="600" verticalDpi="600" orientation="portrait" paperSize="9" scale="88"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Šiška</dc:creator>
  <cp:keywords/>
  <dc:description/>
  <cp:lastModifiedBy>Miloš Ječný</cp:lastModifiedBy>
  <cp:lastPrinted>2020-09-08T15:06:01Z</cp:lastPrinted>
  <dcterms:created xsi:type="dcterms:W3CDTF">2015-06-09T11:12:40Z</dcterms:created>
  <dcterms:modified xsi:type="dcterms:W3CDTF">2020-11-02T08:38:28Z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