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bookViews>
    <workbookView xWindow="150" yWindow="32760" windowWidth="14685" windowHeight="12120" tabRatio="721" activeTab="0"/>
  </bookViews>
  <sheets>
    <sheet name="OBJEKT_CELKOVÉ NÁKLADY" sheetId="9" r:id="rId1"/>
    <sheet name="ESA_ESI" sheetId="22" r:id="rId2"/>
  </sheets>
  <definedNames>
    <definedName name="_2d">#REF!</definedName>
    <definedName name="cc">#REF!</definedName>
    <definedName name="ccc">#REF!</definedName>
    <definedName name="cccc">#REF!</definedName>
    <definedName name="ccccc">#REF!</definedName>
    <definedName name="cccccc">#REF!</definedName>
    <definedName name="ccccccc">#REF!</definedName>
    <definedName name="ccccccccc">#REF!</definedName>
    <definedName name="cccccccccc">#REF!</definedName>
    <definedName name="ccccccccccc">#REF!</definedName>
    <definedName name="ce">#REF!</definedName>
    <definedName name="cen">#REF!</definedName>
    <definedName name="cena">#REF!</definedName>
    <definedName name="Cena_">#REF!</definedName>
    <definedName name="Cena_1">'OBJEKT_CELKOVÉ NÁKLADY'!$H$148</definedName>
    <definedName name="Cena_2a">'OBJEKT_CELKOVÉ NÁKLADY'!$H$178</definedName>
    <definedName name="Cena_2b">'OBJEKT_CELKOVÉ NÁKLADY'!$H$200</definedName>
    <definedName name="Cena_2c">'OBJEKT_CELKOVÉ NÁKLADY'!$H$293</definedName>
    <definedName name="Cena_2d">'OBJEKT_CELKOVÉ NÁKLADY'!$H$414</definedName>
    <definedName name="Cena_2e">'OBJEKT_CELKOVÉ NÁKLADY'!$H$432</definedName>
    <definedName name="Cena_2f">'OBJEKT_CELKOVÉ NÁKLADY'!$H$466</definedName>
    <definedName name="Cena_2g">'OBJEKT_CELKOVÉ NÁKLADY'!$H$577</definedName>
    <definedName name="Cena_2h">'OBJEKT_CELKOVÉ NÁKLADY'!$H$583</definedName>
    <definedName name="Cena_2i">'OBJEKT_CELKOVÉ NÁKLADY'!$H$492</definedName>
    <definedName name="Cena_2j">'OBJEKT_CELKOVÉ NÁKLADY'!$H$320</definedName>
    <definedName name="Cena_2k">'OBJEKT_CELKOVÉ NÁKLADY'!$H$329</definedName>
    <definedName name="Cena_2l">'OBJEKT_CELKOVÉ NÁKLADY'!$H$357</definedName>
    <definedName name="Cena_2m">'OBJEKT_CELKOVÉ NÁKLADY'!$H$377</definedName>
    <definedName name="Cena_3a">'OBJEKT_CELKOVÉ NÁKLADY'!$H$577</definedName>
    <definedName name="Cena_3b">'OBJEKT_CELKOVÉ NÁKLADY'!$H$583</definedName>
    <definedName name="Cena_3c">'OBJEKT_CELKOVÉ NÁKLADY'!$H$492</definedName>
    <definedName name="Cena_3d">'OBJEKT_CELKOVÉ NÁKLADY'!$H$320</definedName>
    <definedName name="Cena_3e">#REF!</definedName>
    <definedName name="Cena_3f">#REF!</definedName>
    <definedName name="Cena_3g">#REF!</definedName>
    <definedName name="Cena_4a">#REF!</definedName>
    <definedName name="Cena_4b">#REF!</definedName>
    <definedName name="Cena_4c">#REF!</definedName>
    <definedName name="Cena_4d">#REF!</definedName>
    <definedName name="Cena_4e">#REF!</definedName>
    <definedName name="Cena_5">#REF!</definedName>
    <definedName name="Cena_6">#REF!</definedName>
    <definedName name="Cena_dokoncovaci_prace">'OBJEKT_CELKOVÉ NÁKLADY'!$H$587</definedName>
    <definedName name="Cena_doplňky_dodavatele">#REF!</definedName>
    <definedName name="Dokoncovaci_prace">'OBJEKT_CELKOVÉ NÁKLADY'!$D$585</definedName>
    <definedName name="Doplňky_dodavatele">#REF!</definedName>
    <definedName name="kap">#REF!</definedName>
    <definedName name="_kap5">#REF!</definedName>
    <definedName name="_kap6">#REF!</definedName>
    <definedName name="kapc">#REF!</definedName>
    <definedName name="kapd">#REF!</definedName>
    <definedName name="kape">#REF!</definedName>
    <definedName name="Kapitola_1">'OBJEKT_CELKOVÉ NÁKLADY'!$D$111</definedName>
    <definedName name="Kapitola_2">'OBJEKT_CELKOVÉ NÁKLADY'!$D$150</definedName>
    <definedName name="Kapitola_2a">'OBJEKT_CELKOVÉ NÁKLADY'!$D$151</definedName>
    <definedName name="Kapitola_2b">'OBJEKT_CELKOVÉ NÁKLADY'!$D$180</definedName>
    <definedName name="Kapitola_2c">'OBJEKT_CELKOVÉ NÁKLADY'!$D$202</definedName>
    <definedName name="Kapitola_2d">'OBJEKT_CELKOVÉ NÁKLADY'!$D$398</definedName>
    <definedName name="Kapitola_2e">'OBJEKT_CELKOVÉ NÁKLADY'!$D$416</definedName>
    <definedName name="Kapitola_2f">'OBJEKT_CELKOVÉ NÁKLADY'!$D$435</definedName>
    <definedName name="Kapitola_2g">'OBJEKT_CELKOVÉ NÁKLADY'!$D$573</definedName>
    <definedName name="Kapitola_2h">'OBJEKT_CELKOVÉ NÁKLADY'!$D$579</definedName>
    <definedName name="Kapitola_2i">'OBJEKT_CELKOVÉ NÁKLADY'!$D$468</definedName>
    <definedName name="Kapitola_2j">'OBJEKT_CELKOVÉ NÁKLADY'!$D$295</definedName>
    <definedName name="Kapitola_2k">'OBJEKT_CELKOVÉ NÁKLADY'!$D$322</definedName>
    <definedName name="Kapitola_2l">'OBJEKT_CELKOVÉ NÁKLADY'!$D$331</definedName>
    <definedName name="Kapitola_2m">'OBJEKT_CELKOVÉ NÁKLADY'!$D$359</definedName>
    <definedName name="Kapitola_3">#REF!</definedName>
    <definedName name="Kapitola_4">#REF!</definedName>
    <definedName name="Kapitola_4a">#REF!</definedName>
    <definedName name="Kapitola_4b">#REF!</definedName>
    <definedName name="Kapitola_4c">#REF!</definedName>
    <definedName name="Kapitola_4d">#REF!</definedName>
    <definedName name="Kapitola_4e">#REF!</definedName>
    <definedName name="Kapitola_5">#REF!</definedName>
    <definedName name="Kapitola_6">#REF!</definedName>
    <definedName name="_xlnm.Print_Area" localSheetId="1">'ESA_ESI'!$A$1:$J$96</definedName>
    <definedName name="_xlnm.Print_Area" localSheetId="0">'OBJEKT_CELKOVÉ NÁKLADY'!$A$1:$I$587</definedName>
    <definedName name="_rek3">#REF!</definedName>
    <definedName name="_rek4">#REF!</definedName>
    <definedName name="rek4b">#REF!</definedName>
    <definedName name="rek4c">#REF!</definedName>
    <definedName name="rek4d">#REF!</definedName>
    <definedName name="reka">#REF!</definedName>
    <definedName name="Rekapitulace_1">'OBJEKT_CELKOVÉ NÁKLADY'!$D$13</definedName>
    <definedName name="Rekapitulace_2">'OBJEKT_CELKOVÉ NÁKLADY'!$D$14</definedName>
    <definedName name="Rekapitulace_2a">'OBJEKT_CELKOVÉ NÁKLADY'!$D$15</definedName>
    <definedName name="Rekapitulace_2b">'OBJEKT_CELKOVÉ NÁKLADY'!$D$16</definedName>
    <definedName name="Rekapitulace_2c">'OBJEKT_CELKOVÉ NÁKLADY'!$D$17</definedName>
    <definedName name="Rekapitulace_2d">'OBJEKT_CELKOVÉ NÁKLADY'!$D$24</definedName>
    <definedName name="Rekapitulace_2e">'OBJEKT_CELKOVÉ NÁKLADY'!$D$25</definedName>
    <definedName name="Rekapitulace_2f">'OBJEKT_CELKOVÉ NÁKLADY'!$D$26</definedName>
    <definedName name="Rekapitulace_2g">'OBJEKT_CELKOVÉ NÁKLADY'!$D$30</definedName>
    <definedName name="Rekapitulace_2h">'OBJEKT_CELKOVÉ NÁKLADY'!$D$31</definedName>
    <definedName name="Rekapitulace_2i">'OBJEKT_CELKOVÉ NÁKLADY'!$D$27</definedName>
    <definedName name="Rekapitulace_2j">'OBJEKT_CELKOVÉ NÁKLADY'!$D$18</definedName>
    <definedName name="Rekapitulace_2k">'OBJEKT_CELKOVÉ NÁKLADY'!$D$19</definedName>
    <definedName name="Rekapitulace_2l">'OBJEKT_CELKOVÉ NÁKLADY'!$D$20</definedName>
    <definedName name="Rekapitulace_2m">'OBJEKT_CELKOVÉ NÁKLADY'!$D$21</definedName>
    <definedName name="Rekapitulace_3">#REF!</definedName>
    <definedName name="Rekapitulace_3a">'OBJEKT_CELKOVÉ NÁKLADY'!$D$31</definedName>
    <definedName name="Rekapitulace_3b">#REF!</definedName>
    <definedName name="Rekapitulace_3c">#REF!</definedName>
    <definedName name="Rekapitulace_3d">#REF!</definedName>
    <definedName name="Rekapitulace_3e">#REF!</definedName>
    <definedName name="Rekapitulace_3f">#REF!</definedName>
    <definedName name="Rekapitulace_3g">#REF!</definedName>
    <definedName name="Rekapitulace_4">#REF!</definedName>
    <definedName name="Rekapitulace_4a">#REF!</definedName>
    <definedName name="Rekapitulace_4b">#REF!</definedName>
    <definedName name="Rekapitulace_4c">#REF!</definedName>
    <definedName name="Rekapitulace_4d">#REF!</definedName>
    <definedName name="Rekapitulace_4e">#REF!</definedName>
    <definedName name="Rekapitulace_5">#REF!</definedName>
    <definedName name="Rekapitulace_6">#REF!</definedName>
    <definedName name="Rekapitulace_Dokončovací_práce">'OBJEKT_CELKOVÉ NÁKLADY'!$D$32</definedName>
    <definedName name="Rekapitulace_Doplňky_dodavatele">#REF!</definedName>
    <definedName name="rekb">#REF!</definedName>
    <definedName name="rekc">#REF!</definedName>
    <definedName name="rekd">#REF!</definedName>
    <definedName name="reke">#REF!</definedName>
    <definedName name="rekf">#REF!</definedName>
    <definedName name="rekg">#REF!</definedName>
    <definedName name="_xlnm.Print_Titles" localSheetId="0">'OBJEKT_CELKOVÉ NÁKLADY'!$3:$3</definedName>
  </definedNames>
  <calcPr fullCalcOnLoad="1"/>
</workbook>
</file>

<file path=xl/sharedStrings.xml><?xml version="1.0" encoding="utf-8"?>
<sst xmlns="http://schemas.openxmlformats.org/spreadsheetml/2006/main" count="2037" uniqueCount="994">
  <si>
    <t xml:space="preserve">Uvedené referenční výrobky v PD a ve výkazu výměr nejsou pro zhotovitele závazné. Projektantem jsou uvedeny jako příklad vhodného produktu. Zhotovitel je oprávněn zvolit jiné, srovnatelné materiály, jež zabezpečí shodnou anebo vyšší technickou hodnotu díla. Nabízené materiály předloží objednateli ke schválení a dosažení požadovaných parametrů doloží hodnověrnými dokumenty (atesty, výsledky zkoušek, doklad o shodě apod.). Kde zhotovitel nabídne srovnatelný výrobek nebo materiál na místo označeného nebo specifikovaného, který byl přijat k začlenění do díla, pak se má zato, že sazby a ceny ve výkazu výměr zahrnují veškeré povinnosti a náklady spojené se začleněním srovnatelného výrobku do díla.  </t>
  </si>
  <si>
    <t>2</t>
  </si>
  <si>
    <t>D</t>
  </si>
  <si>
    <t>M</t>
  </si>
  <si>
    <t xml:space="preserve">Jednotková cena by měla vždy, pokud není samostatně uvedeno, obsahovat dodávku a montáž příslušné položky. Technické parametry materiálů a výrobků jsou uvedeny v PD. Zhotovitel při nacenění jednotlivých položek musí zohlednit tyto technické parametry.  </t>
  </si>
  <si>
    <t>kg</t>
  </si>
  <si>
    <t>Pokud není samostaně uvedeno v jedn. cenách kalkulována svislá doprava vč. naložení na dopravní prostředek</t>
  </si>
  <si>
    <t>Pokud nejsou výrobky vyspecifikovány ve výkazu, platí specifikace uvedená v projektové dokumentaci</t>
  </si>
  <si>
    <t>Dokončovací práce</t>
  </si>
  <si>
    <t>2a</t>
  </si>
  <si>
    <t>2b</t>
  </si>
  <si>
    <t>2c</t>
  </si>
  <si>
    <t>2d</t>
  </si>
  <si>
    <t>2e</t>
  </si>
  <si>
    <t>2f</t>
  </si>
  <si>
    <t>2g</t>
  </si>
  <si>
    <t>Konstrukce zámečnické</t>
  </si>
  <si>
    <t xml:space="preserve">Přesun hmot, doprava, režie - stanovený procentní sazbou </t>
  </si>
  <si>
    <t>Soupis stavebních prací, výkonů a služeb</t>
  </si>
  <si>
    <t>Pokud nejsou výměry uvedeny ve vzorci u jednotlivých buněk, byly změřeny z CAD výkresu</t>
  </si>
  <si>
    <t>Přesun hmot, doprava, režie - stanovený procentní sazbou</t>
  </si>
  <si>
    <t xml:space="preserve">a) náklady na veškerou svislou a vodorovnou dopravu na staveništi, náklady na dopravu materiálu na staveniště, staveništní přesun hmot a u bourání manipulaci se sutí, její odvoz a uložení na skládku do 20-ti km včetně poplatku, pokud nebudou tyto položky uvedeny dodavatelem v samostatné položce </t>
  </si>
  <si>
    <t>c)  všechny potřebné pomocné dodávky a práce pro upevnění, zabezpečení funkčnosti a finální pohledové 
úpravy, které jsou běžně součástí dodávaného výrobku nebo systému  nebo jsou předepsány projektem a 
nejsou výslovně uvedeny jako samostatné položky</t>
  </si>
  <si>
    <t>d) náklady na zakrývání (nebo jiné zajištění) konstrukcí a prací ostatních zhotovitelů nebo stávajících konstrukcí před znečištěním a poškozením a odstranění zakrytí</t>
  </si>
  <si>
    <t>f) náklady na zkoušky a atesty během výstavby, výkresy skutečného provedení a zúčtovací podklady</t>
  </si>
  <si>
    <t>g)  náklady na požadované záruky, pojištění a ostatní finanční náklady</t>
  </si>
  <si>
    <t>Stěny a příčky</t>
  </si>
  <si>
    <t>Není-li uvedeno jinak jsou položky uvažovány společně dodávka i montáž. Položky označené kódem jsou detailně popsány v tabulce skladeb konstrukcí a povrchových úprav.</t>
  </si>
  <si>
    <t>Zdravotechnika - vnitřní kanalizace</t>
  </si>
  <si>
    <t>Zdravotechnika - vnitřní vodovod</t>
  </si>
  <si>
    <t xml:space="preserve">Zdravotechnika - zařizovací předměty, armatury </t>
  </si>
  <si>
    <t>Vzduchotechnika</t>
  </si>
  <si>
    <t>Konstrukce truhlářské</t>
  </si>
  <si>
    <t>Podlahy z dlaždic</t>
  </si>
  <si>
    <t>Není-li uvedeno jinak jsou položky uvažovány společně dodávka i montáž. Součástí nacenění budou všechny systémové doplňky, kotevní a upevňovací prostředky, úpravy spár a rohů a jiný pomocný materiál specifikovaný v technických a montážních předpisech vybraného výrobce. Položky označené kódem jsou detailně popsány v tabulce skladeb konstrukcí a povrchových úprav.</t>
  </si>
  <si>
    <t>Těsnící stěrka, předpokládaná spotřeba 1,5 kg/m2</t>
  </si>
  <si>
    <t>Není-li uvedeno jinak jsou položky uvažovány společně dodávka i montáž. Součástí nacenění budou všechny systémové doplňky, kotevní a upevňovací prostředky, tmelení spár a rohů a jiný pomocný materiál specifikovaný v technických a montážních předpisech vybraného výrobce. V ceně bude zakalkulováno pomocné lešení. Položky označené kódem jsou detailně popsány v tabulce skladeb konstrukcí a povrchových úprav.</t>
  </si>
  <si>
    <t>Není-li uvedeno jinak jsou položky uvažovány společně dodávka i montáž. Součástí nacenění budou všechny systémové doplňky, kotevní a upevňovací prostředky, tmelení spár a rohů a jiný pomocný materiál specifikovaný v technických a montážních předpisech vybraného výrobce. Položky označené kódem jsou detailně popsány v tabulce skladeb konstrukcí a povrchových úprav.</t>
  </si>
  <si>
    <t>Zkouška těsnosti potrubí kanalizace vodou do DN 125</t>
  </si>
  <si>
    <t>Příplatek za nestandardní povrchovou úpravu Q3</t>
  </si>
  <si>
    <t>SOK1-D</t>
  </si>
  <si>
    <t>SOK1-M</t>
  </si>
  <si>
    <t>Následující kompletizované výrobky jsou detailně popsány v technických parametrech výplní otvorů (popř. ve výpisu prvků PSV), dle kterých je nutno provést ocenění. Není-li uvedeno jinak jsou položky uvažovány společně dodávka i montáž. Součástí nacenění budou všechny systémové doplňky, kotevní a upevňovací prostředky a jiný pomocný materiál uvedený v technických parametrech výplní otvorů, souboru stavebních detailů a v technických a montážních předpisech vybraného výrobce.</t>
  </si>
  <si>
    <t>Vyvěšení dřevěných dveřních křídel pl. do 2 m2</t>
  </si>
  <si>
    <t>Demontáž uzávěrek zápachových jednoduchých</t>
  </si>
  <si>
    <t>Uzávěrka zápachová pračková podomítková společná s připojovacím kolenem na vodovod, nerez krytka</t>
  </si>
  <si>
    <t>Materiál + montáž silnoproudých rozvodů celkem</t>
  </si>
  <si>
    <t>Rozvodnice RB celkem</t>
  </si>
  <si>
    <t>Různé</t>
  </si>
  <si>
    <t>Kapitola silnoproudých elektroinstalačních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</si>
  <si>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Kapitola slaboproudých elektroinstalačních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</si>
  <si>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soubor</t>
  </si>
  <si>
    <t>Demontáže VZT zařízení jsou popsány v kapitole Přípravné, bourací a sanační práce. 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 Položky vzduchotechnických výrobků jsou detailně popsány v projektové dokumentaci.</t>
  </si>
  <si>
    <t>Ventil rohový G 1/2 bez připojovací hadičky</t>
  </si>
  <si>
    <t>ELEKTROINSTALACE</t>
  </si>
  <si>
    <t>SILNOPROUD</t>
  </si>
  <si>
    <t>Položka</t>
  </si>
  <si>
    <t>Materiál + montáž</t>
  </si>
  <si>
    <t>materiál</t>
  </si>
  <si>
    <t>montáž</t>
  </si>
  <si>
    <t>B - svítidlo stropní  LED,16W, IP20</t>
  </si>
  <si>
    <t>R</t>
  </si>
  <si>
    <t>zásuvka 230V</t>
  </si>
  <si>
    <t>zásuvka 230V  s ochranou před přepětím</t>
  </si>
  <si>
    <t>spínač č.1 - jednopólový</t>
  </si>
  <si>
    <t>rámeček 1x - jednoduchý</t>
  </si>
  <si>
    <t>rámeček 2x, dvojrámeček</t>
  </si>
  <si>
    <t>krabice přístrojová KP</t>
  </si>
  <si>
    <t>hmoždinky vč.vrutu, vrtání</t>
  </si>
  <si>
    <t>vodič CY 4 - zel.žl.</t>
  </si>
  <si>
    <t>rozvodnice RB</t>
  </si>
  <si>
    <t>přezkoušení vedení</t>
  </si>
  <si>
    <t>práce neoceněné položkami ceníku (drobný pomocný materiál)</t>
  </si>
  <si>
    <t>soub</t>
  </si>
  <si>
    <t>hod</t>
  </si>
  <si>
    <t>revize el.zařízení</t>
  </si>
  <si>
    <t xml:space="preserve">Materiál + montáž silnoproud celkem </t>
  </si>
  <si>
    <t>svorkovnice KLM</t>
  </si>
  <si>
    <t>zapojení rozvaděče</t>
  </si>
  <si>
    <t>SLABOPROUD</t>
  </si>
  <si>
    <t xml:space="preserve">Materiál + montáž slaboproud celkem </t>
  </si>
  <si>
    <t>Dokumentace skutečného provedení (2 vyhotovení)</t>
  </si>
  <si>
    <t xml:space="preserve">Celkem </t>
  </si>
  <si>
    <t>Celkové rozpočtové náklady elektroinstalace bez DPH</t>
  </si>
  <si>
    <t xml:space="preserve">DPH </t>
  </si>
  <si>
    <t>Cena vč. DPH</t>
  </si>
  <si>
    <t>Poznámky pro zhotovitele</t>
  </si>
  <si>
    <t xml:space="preserve">Uvedené technické parametry jsou pro zhotovitele závazné. Zhotovitel je oprávněn zvolit jiné, srovnatelné materiály, jež zabezpečí shodnou anebo vyšší technickou hodnotu díla. Nabízené materiály předloží objednateli ke schválení a dosažení požadovaných parametrů doloží hodnověrnými dokumenty (atesty, výsledky zkoušek, doklad o shodě apod.). Kde zhotovitel nabídne srovnatelný výrobek nebo materiál na místo označeného nebo specifikovaného, který byl přijat k začlenění do díla, pak se má zato, že sazby a ceny ve výkazu výměr zahrnují veškeré povinnosti a náklady spojené se začleněním srovnatelného výrobku do díla.  </t>
  </si>
  <si>
    <t xml:space="preserve"> - náklady na opatření k zajištění bezpečnosti práce</t>
  </si>
  <si>
    <t xml:space="preserve"> -  všechny potřebné pomocné dodávky a práce pro upevnění, zabezpečení funkčnosti a finální pohledové 
úpravy, které jsou běžně součástí dodávaného výrobku nebo systému  nebo jsou předepsány projektem a 
nejsou výslovně uvedeny jako samostatné položky ;</t>
  </si>
  <si>
    <t xml:space="preserve"> - náklady na protihluková a protiprašná zařízení </t>
  </si>
  <si>
    <t xml:space="preserve"> - náklady na požadované záruky, pojištění a ostatní finanční náklady.</t>
  </si>
  <si>
    <t xml:space="preserve"> - náklady na prořez a ztratné zabudovaného materiálu</t>
  </si>
  <si>
    <t>Materiál + montáž slaboproud celkem</t>
  </si>
  <si>
    <t>Zakrytí okenních výplní PE folií vč. dodání</t>
  </si>
  <si>
    <t>Stavební úpravy bytové jednotky</t>
  </si>
  <si>
    <t>Izolace návleková  tl. stěny 20 mm vnitřní průměr 25 mm</t>
  </si>
  <si>
    <t>Izolace návleková  tl. stěny 13 mm vnitřní průměr 25 mm</t>
  </si>
  <si>
    <t>SK1-D</t>
  </si>
  <si>
    <t>SOK2-D</t>
  </si>
  <si>
    <t>SOK2-M</t>
  </si>
  <si>
    <t>o</t>
  </si>
  <si>
    <t>Opravy</t>
  </si>
  <si>
    <t>Investice</t>
  </si>
  <si>
    <t>i</t>
  </si>
  <si>
    <t>Cena bez DPH</t>
  </si>
  <si>
    <t>KD(I)1-M</t>
  </si>
  <si>
    <t>Přípravné a bourací práce</t>
  </si>
  <si>
    <t xml:space="preserve">Tmelení akrylátovým tmelem </t>
  </si>
  <si>
    <t>Úpravy povrchů vnitřní (stěny, stropy)</t>
  </si>
  <si>
    <t>Hydroizolační koutová těsnící páska vč. rohových tvarovek (svislé stěny)</t>
  </si>
  <si>
    <t>Hydroizolační koutová těsnící páska vč. rohových tvarovek (vororovné plochy)</t>
  </si>
  <si>
    <t>DU1</t>
  </si>
  <si>
    <t>DU2</t>
  </si>
  <si>
    <t>DU3-M</t>
  </si>
  <si>
    <t>DU3a-D</t>
  </si>
  <si>
    <t>DU3b-D</t>
  </si>
  <si>
    <t>DU3-D</t>
  </si>
  <si>
    <t xml:space="preserve"> </t>
  </si>
  <si>
    <t xml:space="preserve">Elektroinstalace - silnoproud </t>
  </si>
  <si>
    <t>Elektroinstalace - slaboproud</t>
  </si>
  <si>
    <r>
      <rPr>
        <i/>
        <sz val="10"/>
        <rFont val="Arial CE"/>
        <family val="2"/>
      </rPr>
      <t>Investor:</t>
    </r>
    <r>
      <rPr>
        <sz val="14"/>
        <rFont val="Arial CE"/>
        <family val="2"/>
      </rPr>
      <t xml:space="preserve"> Městská Část Praha 5 zastoupená firmou Centra a.s.</t>
    </r>
  </si>
  <si>
    <t>svorka Bernard vč.Cu pásku</t>
  </si>
  <si>
    <t>krabicová rozvodka KR 68</t>
  </si>
  <si>
    <t>ukončení vodiče</t>
  </si>
  <si>
    <t>sekání průrazů</t>
  </si>
  <si>
    <t>sekání (vrtání) otvoru pro krabice</t>
  </si>
  <si>
    <t>demontážní práce</t>
  </si>
  <si>
    <t>proudový chránič 16/1N/0,03</t>
  </si>
  <si>
    <t>televizní zásuvka STA</t>
  </si>
  <si>
    <t>Baterie dřezová stojánková páková směšovací, chrom,  vč.flexo hadiček - specifikace dle PD</t>
  </si>
  <si>
    <t xml:space="preserve">opravy </t>
  </si>
  <si>
    <t xml:space="preserve">investice </t>
  </si>
  <si>
    <t xml:space="preserve">kontrola </t>
  </si>
  <si>
    <t>Podlahy dřevěné a povlakové</t>
  </si>
  <si>
    <t>DU3</t>
  </si>
  <si>
    <t>poznámka</t>
  </si>
  <si>
    <t>Nástěnka závitová plastová PPR PN 20, 25x4.2, 1/2</t>
  </si>
  <si>
    <t>Nástěnný komplet (Nástěnka dvojitá závitová plastová) PPR PN 20, 25x4.2, 1/2</t>
  </si>
  <si>
    <t>m3</t>
  </si>
  <si>
    <t>Topení</t>
  </si>
  <si>
    <t>Vybourání dřevěných dveřních zárubní pl. do 2 m2</t>
  </si>
  <si>
    <t>Demontáž ventilu výtokového nástěnného</t>
  </si>
  <si>
    <t>Demontáž klozetu včetně splachovací nádrže</t>
  </si>
  <si>
    <t>Demontáž baterie nástěnné do G 3/4</t>
  </si>
  <si>
    <t>Odsekání vnitřních obkladů stěn nad 2 m2</t>
  </si>
  <si>
    <t>Stropy a stropní konstrukce a podhledy</t>
  </si>
  <si>
    <t>Příplatek k obkladu stěn keram.,za plochu do 10 m2</t>
  </si>
  <si>
    <t>968062455R00</t>
  </si>
  <si>
    <t>978013121R00</t>
  </si>
  <si>
    <t>962031113R00</t>
  </si>
  <si>
    <t>970031130R00</t>
  </si>
  <si>
    <t>712990813RT1</t>
  </si>
  <si>
    <t xml:space="preserve">Průzkumné práce - průzkum stávající dřevěné podlahy - pásová sonda podél vnitřní nosné stěny v místech navrhované koupelny </t>
  </si>
  <si>
    <t>979011211R00</t>
  </si>
  <si>
    <t>979081111RT2</t>
  </si>
  <si>
    <t xml:space="preserve">Odvoz suti a vybour. hmot na skládku do 1 km kontejnerem </t>
  </si>
  <si>
    <t>979081121RT2</t>
  </si>
  <si>
    <t>Příplatek k odvozu za každý další 1 km (uvažováno 9km)</t>
  </si>
  <si>
    <t>979094211R00</t>
  </si>
  <si>
    <t>Nakládání nebo překládání vybourané suti</t>
  </si>
  <si>
    <t>979990107R00</t>
  </si>
  <si>
    <t>Poplatek za skládku suti - směs betonu,cihel</t>
  </si>
  <si>
    <t>Poplatek za skládku suti - dřevo</t>
  </si>
  <si>
    <t>979990161R00</t>
  </si>
  <si>
    <t>d</t>
  </si>
  <si>
    <t xml:space="preserve">Příčka do stávajícího objektu, bez omítky, tl.15 cm, cihly plné, vysekání kapes pro zavázání  </t>
  </si>
  <si>
    <t>340200010RAB</t>
  </si>
  <si>
    <t>346244313R00</t>
  </si>
  <si>
    <t>342091051R00</t>
  </si>
  <si>
    <t>Těsnění styku příčky se stáv. konstrukcí PU pěnou</t>
  </si>
  <si>
    <t>342668111R00</t>
  </si>
  <si>
    <t>342263310R00</t>
  </si>
  <si>
    <t>Parotěsná zábrana tl. min. 0,25mm, propustnost páry – difuzní tloušťka Sd 50m</t>
  </si>
  <si>
    <t>713111221RK4</t>
  </si>
  <si>
    <t>713111261RK2</t>
  </si>
  <si>
    <t>713111271RS2</t>
  </si>
  <si>
    <t>Utěsnění styku s jinou konstr. oboustrannou páskou, vč. dodávky pásky (po obvodu místností)</t>
  </si>
  <si>
    <t>713111121RT1</t>
  </si>
  <si>
    <t xml:space="preserve">Větrací plastová mřížka do SDK podhledu, průměr 100 mm (větrání plynu)  včetně kotvícího materiálu </t>
  </si>
  <si>
    <t>Montáž mřížek</t>
  </si>
  <si>
    <t>SK2-D+M</t>
  </si>
  <si>
    <t>Oprava vápen.omítek stěn do 10 % pl. - hrubých</t>
  </si>
  <si>
    <t>612421211R00</t>
  </si>
  <si>
    <t xml:space="preserve">Omítka vnitřních stěn vápenocem. Jednovrstvá do tl. 15 mm,  pro vyrovnání podkladu pod obklady </t>
  </si>
  <si>
    <t>612475111RT3</t>
  </si>
  <si>
    <t>784496500R00</t>
  </si>
  <si>
    <t>Penetrace podkladu (před vystěrkováním)</t>
  </si>
  <si>
    <t>Penetrace podkladu (pod vyrovnávací omítku a pod stěrku)</t>
  </si>
  <si>
    <t>Začištění omítek kolem oken,dveří apod. s použitím suché maltové směsi</t>
  </si>
  <si>
    <t>612409991RT2</t>
  </si>
  <si>
    <t>Omítka vápenná vnitřního ostění - štuková s použitím suché maltové směsi</t>
  </si>
  <si>
    <t>612425931RT2</t>
  </si>
  <si>
    <t xml:space="preserve">Omítka stěn vnitřní tenkovrstvá vápenná - štuk. Položka obsahuje nátěr podkladu spojovacím můstkem a štukovou omítku tl. 5 mm. Ruční provedení. </t>
  </si>
  <si>
    <t>Příplatek za zabudované rohovníky, stěny</t>
  </si>
  <si>
    <t>612473186R00</t>
  </si>
  <si>
    <t>781479711R00</t>
  </si>
  <si>
    <t>https://www.siko.cz/lista-ukoncovaci-l-hlinik-10-mm-250-cm-al10250/p/AL10250?gclid=EAIaIQobChMIsYDCpJ7F6QIVie3tCh0zFQanEAAYAyAAEgKzu_D_BwE</t>
  </si>
  <si>
    <t>https://www.siko.cz/lista-ukoncovaci-l-kartacovana-nerez-10-mm-250-cm-nrzk10250/p/NRZK10250</t>
  </si>
  <si>
    <t>Vestavná el. trouba ref. výrobek MORA VT 433 BX, vč. montáže</t>
  </si>
  <si>
    <t>https://www.datart.cz/Vestavna-trouba-MORA-VT-433-BW.html?gclid=EAIaIQobChMIpMnpia_H6QIVGofVCh2towCrEAAYASAAEgKGBfD_BwE</t>
  </si>
  <si>
    <t>Montáž obložkové zárubně a dřevěného křídla dveří</t>
  </si>
  <si>
    <t>766670011R00</t>
  </si>
  <si>
    <t>317941121R00</t>
  </si>
  <si>
    <t xml:space="preserve">Osazení ocelových nosníků </t>
  </si>
  <si>
    <t>https://online.ferona.cz/detail/22304/profil-rovnoramenny-l-z-konstrukcni-oceli-valcovane-za-tepla-en-10056-l-50x50x4</t>
  </si>
  <si>
    <r>
      <t xml:space="preserve">Větrací mřížka do zděné příčky, plast </t>
    </r>
    <r>
      <rPr>
        <sz val="10"/>
        <color indexed="49"/>
        <rFont val="Arial"/>
        <family val="2"/>
      </rPr>
      <t>Ø</t>
    </r>
    <r>
      <rPr>
        <i/>
        <sz val="10"/>
        <color indexed="49"/>
        <rFont val="Arial"/>
        <family val="2"/>
      </rPr>
      <t>100mm</t>
    </r>
  </si>
  <si>
    <t>SK1-D+M</t>
  </si>
  <si>
    <t>SK1,2-M</t>
  </si>
  <si>
    <t>SK1-M</t>
  </si>
  <si>
    <t>SK1</t>
  </si>
  <si>
    <t xml:space="preserve">Montáž výztužné sítě (perlinky) do stěrky - vnit.stěny, stropy, nadpraží včetně výztužné sítě, stěrkového tmelu </t>
  </si>
  <si>
    <t>DU3c-D</t>
  </si>
  <si>
    <t>Al ukončovací lišta (přírodní) profilu L10mm (rohy,přizdívky,výklenek), L=3m</t>
  </si>
  <si>
    <t>Malba nadpraží</t>
  </si>
  <si>
    <t>DS1</t>
  </si>
  <si>
    <t>Izolace tepelné stropů rovných, spodem, drátem, 1 vrstva - materiál ve specifikaci</t>
  </si>
  <si>
    <t>https://rajstavitelu.cz/p/92-isover-eps-150#</t>
  </si>
  <si>
    <t>Pokládka izolace podlah, nasucho, jednovrstvá</t>
  </si>
  <si>
    <t>Separační folie vodorovná, vč. přelepení spojů, vč. dodávky materiálu</t>
  </si>
  <si>
    <t>Montáž kuchyňské linké linky, vč. úpravy pracovní desky a montáže spotřebičů</t>
  </si>
  <si>
    <t>775411810R00</t>
  </si>
  <si>
    <t>771111122R00</t>
  </si>
  <si>
    <t>Lišta hliníková přechodová, Podrobně viz tabulka prvků PSV</t>
  </si>
  <si>
    <t>https://www.floorwood.cz/prechodova-lista-sroubovaci-obla-stribrna-e01/</t>
  </si>
  <si>
    <t>Ventilační přivzdušňovací hlavice, DN50</t>
  </si>
  <si>
    <t>721273160RT1</t>
  </si>
  <si>
    <t>https://ok-levne.cz/hl138-podomitkovy-sifon-ke-klimatizacnim-jednotkam-dn32-100x100mm.html</t>
  </si>
  <si>
    <t>725850145R00</t>
  </si>
  <si>
    <t>Umyvadlo keramické 600/490/195 mm připevněné na stěnu šrouby vč. pilety clickclack- specifikace dle PD (ref. výrobek Lyra Plus)</t>
  </si>
  <si>
    <t>Dřezový sifon plastový</t>
  </si>
  <si>
    <t>https://www.siko.cz/umyvadlo-jika-lyra-plus-60x49-cm-otvor-pro-baterii-uprostred-h8143830001041/p/1438.3.000.104.1</t>
  </si>
  <si>
    <t>978059531R00</t>
  </si>
  <si>
    <t>https://www.ravak.cz/cz/sprchove-dvere-brilliant-bsd2~1</t>
  </si>
  <si>
    <t xml:space="preserve">Montáž uzávěrek zápach. </t>
  </si>
  <si>
    <t>728611113R00</t>
  </si>
  <si>
    <t>Montáž střišky nebo hlavice plech.kruh.do d 200 mm</t>
  </si>
  <si>
    <t>N</t>
  </si>
  <si>
    <t>728212712R00</t>
  </si>
  <si>
    <t>723164103RT1</t>
  </si>
  <si>
    <t>723164104RT1</t>
  </si>
  <si>
    <t>723235111R00</t>
  </si>
  <si>
    <t>Stavební přípomoce (potrubí v přizdívce-drážky vymazány maltou, prostupy-osazení chráničky)</t>
  </si>
  <si>
    <t>spínač č.6 - střídavý</t>
  </si>
  <si>
    <t>relé DT4</t>
  </si>
  <si>
    <t>rámeček 3x, trojrámeček</t>
  </si>
  <si>
    <t>CYKYLo 3Cx2,5 vč.prořezu</t>
  </si>
  <si>
    <t>CYKYLo 2Ax1,5 vč.prořezu</t>
  </si>
  <si>
    <t>CYKYLo 3Ax1,5 vč.prořezu</t>
  </si>
  <si>
    <t>CYKYLo 3Cx1,5 vč.prořezu</t>
  </si>
  <si>
    <t>CYKYLo 5Cx1,5 vč.prořezu</t>
  </si>
  <si>
    <t>ukončení kabelu 4x10</t>
  </si>
  <si>
    <t xml:space="preserve">frézování drážky na stěnách </t>
  </si>
  <si>
    <t>frézování drážky na  stropech</t>
  </si>
  <si>
    <t>Rozvaděč RB</t>
  </si>
  <si>
    <t>proudový chránič 25/4/0,03</t>
  </si>
  <si>
    <t>Jistič 10/1-B</t>
  </si>
  <si>
    <t>Jistič 16/1-B</t>
  </si>
  <si>
    <t>pom.materiál (svorky, vodiče)</t>
  </si>
  <si>
    <t xml:space="preserve">Rozvaděč RB celkem </t>
  </si>
  <si>
    <t>telefonní zásuvka (zásuvka,maska,kryt) - Cat5e</t>
  </si>
  <si>
    <t>komunikační zásuvka PC (zásuvka,maska,kryt)</t>
  </si>
  <si>
    <t>krabice KO s víčkem</t>
  </si>
  <si>
    <t>kabel UTP Cat 5e vč.prořezu</t>
  </si>
  <si>
    <t>koaxiální kabel CB 130F vč.prořezu</t>
  </si>
  <si>
    <t>trubka PVC 2321</t>
  </si>
  <si>
    <t>krabice 125x125 - na povrch</t>
  </si>
  <si>
    <t>domácí telefon</t>
  </si>
  <si>
    <t>SYKFY 5x2x0,5</t>
  </si>
  <si>
    <t>podíl přidružených výkonů</t>
  </si>
  <si>
    <t>Montáž uzávěrek zápach. umyvadlových D32</t>
  </si>
  <si>
    <t>Odstranění nesoudržných štukových omítek (odhad 10% z plochy stěn)</t>
  </si>
  <si>
    <t>"O"opravy
"I" Investice</t>
  </si>
  <si>
    <t>Bandáž koutů - provedení</t>
  </si>
  <si>
    <t xml:space="preserve">Tmelení spár silikonem, obklad, sokl - dlažba, obklad vnitřní rohy , tmelení návazností na zárubně, zařizovací předměty </t>
  </si>
  <si>
    <t>Demontáž lišt dřevěných, přibíjených</t>
  </si>
  <si>
    <t>Minerální vata (40kg/m3) podhledu tl. 40mm</t>
  </si>
  <si>
    <t>SK1,2D</t>
  </si>
  <si>
    <t>Montáž parozábrany s přelepením spojů</t>
  </si>
  <si>
    <t>Vysávání podlah prům.vysavačem pro pokládku dlažby</t>
  </si>
  <si>
    <t>771101101R00</t>
  </si>
  <si>
    <t>Provedení hydroizol. stěrky pod dlažby dvouvrstvé vč. osazení systémových prvků</t>
  </si>
  <si>
    <t>3a</t>
  </si>
  <si>
    <t>Zdravotechnika - demontáže</t>
  </si>
  <si>
    <t>725290010RA0</t>
  </si>
  <si>
    <t>725290020RA0</t>
  </si>
  <si>
    <t>Demontáž umyvadla včetně baterie a konzol</t>
  </si>
  <si>
    <t>725810811R00</t>
  </si>
  <si>
    <t>Svislá doprava suti a vybour. hmot za 2.NP nošením</t>
  </si>
  <si>
    <t>3b</t>
  </si>
  <si>
    <t>3c</t>
  </si>
  <si>
    <t>3d</t>
  </si>
  <si>
    <t>3e</t>
  </si>
  <si>
    <t>3f</t>
  </si>
  <si>
    <t>3g</t>
  </si>
  <si>
    <t>Zdravotechnika</t>
  </si>
  <si>
    <t>776511810RT1</t>
  </si>
  <si>
    <t>721176105R00</t>
  </si>
  <si>
    <t>Vyvedení odpadních výpustek D 110 x 2,7 (wc)</t>
  </si>
  <si>
    <t>721194109R00</t>
  </si>
  <si>
    <t>Obklad soklíků keram.rovných, tmel,výška 100 mm do lepidla vč. spár. a úpravy horní hrany v návaznosti na omítku</t>
  </si>
  <si>
    <t>Keramická dlažba dle specifikace v PD (sokl - proveden pásky 100 mm z řezané dlažby)</t>
  </si>
  <si>
    <t>Vyvedení odpadních výpustek D 50 x 1,8 (sprcha)</t>
  </si>
  <si>
    <t>725869204R00</t>
  </si>
  <si>
    <t>Montáž uzávěrek zápach.dřez.jednoduchý D 40</t>
  </si>
  <si>
    <t>763761201R00</t>
  </si>
  <si>
    <t>Příplatek za vytvoření kluzného napojení do 55 mm</t>
  </si>
  <si>
    <t>Není-li uvedeno jinak jsou položky uvažovány jako dodávka. Montáž a kompletace jsou uvedeny jako souborné položky. Součástí nacenění budou všechny systémové doplňky, kotevní, upevňovací prostředky, montážní sady a jiný pomocný materiál specifikovaný v technických a montážních předpisech vybraného výrobce. Položky zařizovacích předmětů jsou detailně popsány v projektové dokumentaci.</t>
  </si>
  <si>
    <t>Není-li uvedeno jinak jsou položky uvažovány společně dodávka i montáž. Součástí nacenění budou všechny systémové doplňky, kotevní, upevňovací prostředky a jiný pomocný materiál specifikovaný v technických a montážních předpisech vybraného výrobce.</t>
  </si>
  <si>
    <t>Nerezová (kartáčovaná) ukončovací lišta (kuchyň), profilu L10mm, L=3m</t>
  </si>
  <si>
    <r>
      <t>Těsnící stěrka dle specifikace v PD, předpokládaná spotřeba 1,5kg/m</t>
    </r>
    <r>
      <rPr>
        <i/>
        <vertAlign val="superscript"/>
        <sz val="10"/>
        <color indexed="49"/>
        <rFont val="Arial"/>
        <family val="2"/>
      </rPr>
      <t>2</t>
    </r>
  </si>
  <si>
    <t>965081713RT2</t>
  </si>
  <si>
    <t>Bourání dlažeb keramických tl.10 mm, nad 1 m2, sbíječka, dlaždice keramické</t>
  </si>
  <si>
    <t>725820801R00</t>
  </si>
  <si>
    <t>725860811R00</t>
  </si>
  <si>
    <t>784011221RT2</t>
  </si>
  <si>
    <t>968061125R00</t>
  </si>
  <si>
    <t>342270040RAB</t>
  </si>
  <si>
    <t>Potrubí z PPR, D 25x4,2 mm, PN 20, vč. zed. výpom.</t>
  </si>
  <si>
    <t>Tlaková zkouška vodovodního potrubí DN32</t>
  </si>
  <si>
    <t>725869101R00</t>
  </si>
  <si>
    <t>Montáž baterie umyv.a dřezové stojánkové</t>
  </si>
  <si>
    <t>721194103R00</t>
  </si>
  <si>
    <t>721194104R00</t>
  </si>
  <si>
    <t>Vyvedení odpadních výpustek D 40 x 1,8 (pro dřez)</t>
  </si>
  <si>
    <t>721194105R00</t>
  </si>
  <si>
    <t>Montáž sprchových koutů (vanička vč. napojení na sifon, zástěna)</t>
  </si>
  <si>
    <t>Montáž držáku sprchy</t>
  </si>
  <si>
    <t>725849302R00</t>
  </si>
  <si>
    <t>RTS kody</t>
  </si>
  <si>
    <t>342091043R00</t>
  </si>
  <si>
    <t>416091082R00</t>
  </si>
  <si>
    <t>784402801R00</t>
  </si>
  <si>
    <t>Potrubí HT připojovací DN 110 x 2,7mm, vč. nezbytných kolen, odboček, redukcí a montáže</t>
  </si>
  <si>
    <t>Potrubí HT připojovací D 50 x 1,8 mm, vč. nezbytných kolen, odboček, redukcí a montáže</t>
  </si>
  <si>
    <t>Potrubí HT připojovací D 75 x 1,9 mm, vč. nezbytných kolen, odboček, redukcí a montáže</t>
  </si>
  <si>
    <t>Penetrace podkladu pod obklady, položka obsahuje provedení penetračního nátěru včetně dodávky materiálu.</t>
  </si>
  <si>
    <t>781101210RT2</t>
  </si>
  <si>
    <t>612474410R00</t>
  </si>
  <si>
    <t>781475118RT1</t>
  </si>
  <si>
    <t>781475120RT1</t>
  </si>
  <si>
    <t>781111121R00</t>
  </si>
  <si>
    <t>Montáž lišt rohových, vanových a dilatačních</t>
  </si>
  <si>
    <t>781101142R00</t>
  </si>
  <si>
    <t>771101147R00</t>
  </si>
  <si>
    <t>612481211RT2</t>
  </si>
  <si>
    <t xml:space="preserve">Malba standard, bílá, bez penetr.,min. 2x stěny a stropy </t>
  </si>
  <si>
    <t>784115212R00</t>
  </si>
  <si>
    <t>721176103R00</t>
  </si>
  <si>
    <t>721176104R00</t>
  </si>
  <si>
    <t>D+M</t>
  </si>
  <si>
    <t>722172331R00</t>
  </si>
  <si>
    <t>722290215R00</t>
  </si>
  <si>
    <t>722290234R00</t>
  </si>
  <si>
    <t xml:space="preserve">Proplach a dezinfekce vodovod.potrubí </t>
  </si>
  <si>
    <t>Montáž umyvadel na šrouby do zdiva</t>
  </si>
  <si>
    <t>725219401R00</t>
  </si>
  <si>
    <t xml:space="preserve">Umyvadlový sifon s vtokem vč. napojovací manžety chrom </t>
  </si>
  <si>
    <t>Baterie umyvadlová stoján. Ruční páková, bez otvír.odpadu standard vč.flexo hadiček</t>
  </si>
  <si>
    <t>725829202R00</t>
  </si>
  <si>
    <t>725249101R00</t>
  </si>
  <si>
    <t>Vaničkový sifon, průměr otvoru 90 mm, DN50, krytka leštěná nerez průměr 120 mm, otvor sifonu 90 mm, průměr odpadu 50 mm, průtok 39 l/min, shora čistitelný odpadní systém</t>
  </si>
  <si>
    <t>Montáž baterií sprchových termostatických</t>
  </si>
  <si>
    <t>725849202R00</t>
  </si>
  <si>
    <t>725319101R00</t>
  </si>
  <si>
    <t>Montáž dřezů jednoduchých</t>
  </si>
  <si>
    <t>766670021R00</t>
  </si>
  <si>
    <t>T01 D+M</t>
  </si>
  <si>
    <t>771101142R00</t>
  </si>
  <si>
    <t>771475014RU7</t>
  </si>
  <si>
    <t>Montáž podlahových lišt přechodových</t>
  </si>
  <si>
    <t>Malba sádrokarto (příčky, podhledy)</t>
  </si>
  <si>
    <t>Malba stěny</t>
  </si>
  <si>
    <t>Příplatek k podhledu sádrokart. za plochu do 5 m2</t>
  </si>
  <si>
    <t>784111101R00</t>
  </si>
  <si>
    <t xml:space="preserve">Penetrace podkladu nátěrem </t>
  </si>
  <si>
    <t>Úhelník nerovnoramenný L jakost S235 50x50x4 mm vč. povrchové úpravy</t>
  </si>
  <si>
    <t>Montáž revizních dvířek, mřížek</t>
  </si>
  <si>
    <t>V5</t>
  </si>
  <si>
    <t>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t>
  </si>
  <si>
    <t>Plyn</t>
  </si>
  <si>
    <t>Kohout kulový 1/2" plyn</t>
  </si>
  <si>
    <t>Zkouška plynu dle ČSN, zkouška pevnosti a těsnosti</t>
  </si>
  <si>
    <t>Baterie sprchová nástěnná páková včetně sprchového setu a příslušenství - specifikace dle PD</t>
  </si>
  <si>
    <t>Dřez jednoduchý nerezový (400x500) se zápachovou uzávěrkou, specifikace dle PD</t>
  </si>
  <si>
    <t>počet mj</t>
  </si>
  <si>
    <t>cena mj</t>
  </si>
  <si>
    <t>cena celkem</t>
  </si>
  <si>
    <t>Rekapitulace</t>
  </si>
  <si>
    <t>Celkem základní cena</t>
  </si>
  <si>
    <t>DPH stavby</t>
  </si>
  <si>
    <t>Celkem vč. DPH</t>
  </si>
  <si>
    <t>Poznámky pro uchazeče</t>
  </si>
  <si>
    <t>Jednotkové ceny by měly obsahovat:</t>
  </si>
  <si>
    <t>b) náklady na opatření k zajištění bezpečnosti práce</t>
  </si>
  <si>
    <t xml:space="preserve">e) náklady na protihluková a protiprašná zařízení </t>
  </si>
  <si>
    <t>U systémových řešení předpokládáme, že se dodavatel seznámí s typovou dokumentací výrobce a ve své ceně zohlední jak úplné řešení standardní, tak i všechny případné modifikace v průměrné ceně za běžnou jednotku, pokud nejsou v této specifikaci výslovně samostatně uvedeny.</t>
  </si>
  <si>
    <t>Některé výměry v této specifikaci jsou orientační (převážně jsou uvažovány na horní hranici možných dodávek a prací); je žádoucí, aby fakturovány byly pouze skutečně provedené práce.</t>
  </si>
  <si>
    <t>Nedílnou součástí tohoto výkazu je i projektová dokumentace. Pokud dle názoru dodavatele některé práce a dodávky ve výkazu výměr chybí, doplní je do oddílu "Doplňky dodavatele".</t>
  </si>
  <si>
    <t>kpl</t>
  </si>
  <si>
    <t>m2</t>
  </si>
  <si>
    <t>Celkem</t>
  </si>
  <si>
    <t>ks</t>
  </si>
  <si>
    <t>m</t>
  </si>
  <si>
    <t>t</t>
  </si>
  <si>
    <t>počet</t>
  </si>
  <si>
    <t>celkem</t>
  </si>
  <si>
    <t>HZS</t>
  </si>
  <si>
    <t>%</t>
  </si>
  <si>
    <t>Potrubí z PPR, D 32x5,4 mm, PN 20, vč. zed. výpom.</t>
  </si>
  <si>
    <t>Bourání betonové mazaniny do tl.50mm</t>
  </si>
  <si>
    <t>DS2</t>
  </si>
  <si>
    <t>V2</t>
  </si>
  <si>
    <t>Revizní dvířka s tlačným zámkem 300/300mm (u VZT ), včetně kotvícího materiálu</t>
  </si>
  <si>
    <t>https://www.domys-eshop.cz/revizni-dvirka-do-sadrokartonu-300x300x12-5mm-gkb.html</t>
  </si>
  <si>
    <t>Revizní dvířka kovová s magnety otevíravá s úchytem 200/400mm (u uzávěru vody a vodměru), včetně kotvícího materiálu</t>
  </si>
  <si>
    <t>Deska EPS 150, tl.30mm, (500x1000mm)</t>
  </si>
  <si>
    <t>https://www.ventilatory.cz/pvc-vzduchovody-kulate-o-100-mm-x2s16347</t>
  </si>
  <si>
    <t>Ohebná Al laminátová hadice s kostrou z ocelového drátu  d 125mm, včetně spojovacího materiálu - napojení k talířového ventilu</t>
  </si>
  <si>
    <t>https://www.ventilatory.cz/vzduchotechnicke-potrubi-kruhove-ohebne-do-150-c-o-125-mm-delka-1000-mm-x1431</t>
  </si>
  <si>
    <t>PVC oblouk horizontální 125/90°</t>
  </si>
  <si>
    <t>PVC T kus 125/125/125mm</t>
  </si>
  <si>
    <t>Zpětná klapka do potrubí 125mm</t>
  </si>
  <si>
    <t>Plastový talířový ventil Ø 125mm</t>
  </si>
  <si>
    <t>https://www.ventilatory.net/distribucni-elementy/talirove-ventily/it</t>
  </si>
  <si>
    <t>https://www.ventishop.cz/ventilator-do-potrubi-tt-125/</t>
  </si>
  <si>
    <t>Ventilátor do potrubí 125mm dle spec. ve TZ</t>
  </si>
  <si>
    <t>SPIRRO potrubí DN125, včetně úchytů a spojek</t>
  </si>
  <si>
    <t>Nerezový T kus vč. víčka - úprava na sběr kondenzátu  Ø 125 mm</t>
  </si>
  <si>
    <t>https://www.vzduchotechnika.cz/detail/5251-t---kus-125125</t>
  </si>
  <si>
    <t>https://www.vzduchotechnika.cz/katalog/12-spiro?p%5B%5D=51#page</t>
  </si>
  <si>
    <t>Demontáž potrubí u polohy stávajícího plynoměru</t>
  </si>
  <si>
    <t>968062244R00</t>
  </si>
  <si>
    <t>Vybourání dřevěných rámů oken jednoduch. pl. 1 m2</t>
  </si>
  <si>
    <t>968061112R00</t>
  </si>
  <si>
    <t>Vyvěšení dřevěných okenních křídel pl. do 1,5 m2</t>
  </si>
  <si>
    <t>Odstranění PVC a koberců lepených bez podložky z ploch nad 20 m2</t>
  </si>
  <si>
    <t>630900020RAA</t>
  </si>
  <si>
    <t>342012221RT2</t>
  </si>
  <si>
    <t>Příčka z SDK s jednoduchým opláštěním, tl.100mm, vč. MW tl.60mm, dodávky nosných profilů CW 75, tmelení, broušení a zatmelení návazností na zděné stěny (akrylátovým tmelem), dle specifikace v PD</t>
  </si>
  <si>
    <t>713121111R00</t>
  </si>
  <si>
    <t>713191100RT9</t>
  </si>
  <si>
    <t>Broušení anhydritových potěrů - odstranění šlemu</t>
  </si>
  <si>
    <t>632441491R00</t>
  </si>
  <si>
    <t>632411906R00</t>
  </si>
  <si>
    <t>Penetrace velmi savých podkladů</t>
  </si>
  <si>
    <t>721170953R00</t>
  </si>
  <si>
    <t>722172333R00</t>
  </si>
  <si>
    <t>728114112R00</t>
  </si>
  <si>
    <t>Montáž potrubí plastového kruhového do d 200 mm</t>
  </si>
  <si>
    <t>Montáž mřížky větrací nebo ventilační do d 200 mm</t>
  </si>
  <si>
    <t>728415122R00</t>
  </si>
  <si>
    <t>Demontáž potrubí ocelových závitových DN 25</t>
  </si>
  <si>
    <t>723290823R00</t>
  </si>
  <si>
    <t>Přesun vybouraných hmot - plynovody, H 12 - 24 m</t>
  </si>
  <si>
    <t>723190914R00</t>
  </si>
  <si>
    <t>230330051R00</t>
  </si>
  <si>
    <t>725650805R00</t>
  </si>
  <si>
    <t>Demontáž těles otopných plynových podokenních</t>
  </si>
  <si>
    <t>Vyvěšení dřevěných dveřních křídel pl. do 2 m2 a uskladnění pro repasi</t>
  </si>
  <si>
    <t>Bourání zděných příček z plných cihel vč. omítky</t>
  </si>
  <si>
    <t>Odstranění násypu nebo nánosu tl. 5 - 10 cm, z ploch jednotlivě do 10 m2</t>
  </si>
  <si>
    <t>m.č. 409.1,  tl. 100mm</t>
  </si>
  <si>
    <t>m.č. 409.3,  tl. 90mm</t>
  </si>
  <si>
    <t>m.č. 409.2,4,  tl. 60mm</t>
  </si>
  <si>
    <t>968061125R00_P</t>
  </si>
  <si>
    <t>762522811R00</t>
  </si>
  <si>
    <t>Demontáž podlah s polštáři z prken tl. do 32 mm</t>
  </si>
  <si>
    <t>409.4</t>
  </si>
  <si>
    <t>409.6</t>
  </si>
  <si>
    <t>342270042RAA</t>
  </si>
  <si>
    <t>Příčka, přizdívka z tvárnic porobet. tl. 100 mm hlad. tvárnice 600 x 250 x 100 mm, P3 - 550, vč. spražení se zděnou stěnou (navrtané trny nebo pásovina do každé třetí spáry po cca 1,0 m</t>
  </si>
  <si>
    <t>Příčka, přizdívka z tvárnic porobet. tl. 50 mm hlad. tvárnice 600 x 250 x 50 mm, P 4 - 600, vč. spražení se zděnou stěnou (navrtané trny nebo pásovina do každé třetí spáry po cca 1,0 m</t>
  </si>
  <si>
    <t>zazdívka 409.5</t>
  </si>
  <si>
    <t>zazdívka 409.4</t>
  </si>
  <si>
    <t>zazdívka 409.6</t>
  </si>
  <si>
    <t>311231114RT2</t>
  </si>
  <si>
    <t xml:space="preserve">Zdivo nosné cihelné z CP 29 P15 na MVC 2,5, tloušťka zdiva 30 cm, vč.vysekání kapes pro zavázání  </t>
  </si>
  <si>
    <t>Podezdívka vany (1700/700mm) výšky do 600 mm  tl. 100 mm vč.provedení revizního otvoru pro obklad na silikon (návaznosti na spádové možnosti kanalizace)</t>
  </si>
  <si>
    <t>Obezdívka nádržky výšky do 1200 mm  tl. 100 mm</t>
  </si>
  <si>
    <t>Drobné dozdívky původních prostupů (sopouchy, potrubí)</t>
  </si>
  <si>
    <t>342263990RD2_P</t>
  </si>
  <si>
    <t>Příplatek k příčce sádrokart. za desku tl. 12,5 mm, mechanicky odolná deska dle PD, na obou stranách</t>
  </si>
  <si>
    <t>Úprava sádrokartonové příčky pro osazení skříněk kuchyňské linky</t>
  </si>
  <si>
    <t>342263310R00_P</t>
  </si>
  <si>
    <t>Zesílená volně stojící předstěna z SDK s jednoduchým opláštěním, tl.65mm, vč.MW 40mm, dodávky nosných profilů CW50, tmelení, broušení a zatmelení návazností na zděné stěny (akrylátovým tmelem), dle specifikace v PD</t>
  </si>
  <si>
    <t>342012121R00_P</t>
  </si>
  <si>
    <t>342263990RD1_P</t>
  </si>
  <si>
    <t>Příplatek k příčce sádrokart. za desku tl. 12,5 mm, mechanicky odolná deska dle PD, na jedné straně</t>
  </si>
  <si>
    <t>11,29+(0,25+0,27)*3,5+(0,3+2*0,4)*0,8</t>
  </si>
  <si>
    <t>3,9+1,32+4,47</t>
  </si>
  <si>
    <t>409.1 = 14,6*3,43-4*2,35*1,15-0,75*2,1-0,8*2,1</t>
  </si>
  <si>
    <t>409.2 = 16,8*3,42-2,35*1,15-1,245*2,13-0,75*2,1-0,65*2,1</t>
  </si>
  <si>
    <t>409.7 = 20,88*3,425-2*2,35*1,15-1,815*2,18</t>
  </si>
  <si>
    <t>409.9 = 18,58*3,45-2,35*1,15-1,845*2,96</t>
  </si>
  <si>
    <t>409.6 = (9,448-2,12)*1,55</t>
  </si>
  <si>
    <t>409.8 = (27,81-3,5)*3,45-3*2,35*1,15-1,83*2,965-2*0,535*2,15-1,83*2,15</t>
  </si>
  <si>
    <t>Odstranění stávajících maleb oškrábáním (STĚNY, STROPY) H do 3,8m, mimo přizdívky a pohledy.</t>
  </si>
  <si>
    <t>409.2 = 16,8*3,42-2,35*1,15-1,245*2,13-0,75*2,1-0,65*2,1+15,66</t>
  </si>
  <si>
    <t>409.3,4 = (12,45-0,855)*3,45-2,315*1,2-1,035*2,155-0,75*2,1-0,65*2,1-0,46*1,62+5,1</t>
  </si>
  <si>
    <t>409.7 = 24,2</t>
  </si>
  <si>
    <t>409.8 = 37,0</t>
  </si>
  <si>
    <t>409.9 = 20,2</t>
  </si>
  <si>
    <t>612401903R00</t>
  </si>
  <si>
    <t>409.6 = 8,84*2,5-0,8*2</t>
  </si>
  <si>
    <t>409.2 = 16,8*3,42-2,35*1,15-1,245*2,13-0,75*2,1-0,65*2,1+15,66-3,1*1,5-0,6*1,8</t>
  </si>
  <si>
    <t>409.3,4 = 12,45*3,45-1,035*2,155-0,75*2,1-0,65*2,1</t>
  </si>
  <si>
    <t>409.3,4 = 12,45*3,45-1,035*2,155-0,75*2,1-0,65*2,1+5,1</t>
  </si>
  <si>
    <t>409.5 = 4,97*2,5-0,75*2,1+0,3+0,3+0,15*(2*1,57+0,455)</t>
  </si>
  <si>
    <t>409.5 = 4,73*2,5-0,6*0,75+0,3+0,3</t>
  </si>
  <si>
    <t>409.5 = 0</t>
  </si>
  <si>
    <t>409.6 = 0</t>
  </si>
  <si>
    <t>409.1 = 0</t>
  </si>
  <si>
    <t>409.7 = 2*2,18</t>
  </si>
  <si>
    <t>409.3 = 2*2,15</t>
  </si>
  <si>
    <t>409.2 = 2*(2,45+2,13)+3,5</t>
  </si>
  <si>
    <t>409.8 = 2*2,96+2*3,5+3,9</t>
  </si>
  <si>
    <t>409.9 = 2*2,96</t>
  </si>
  <si>
    <t>409.2 = 2*0,09*2,13</t>
  </si>
  <si>
    <t>409.3 = 2*0,09*2,16</t>
  </si>
  <si>
    <t>409.7 = 2*0,13*2,18</t>
  </si>
  <si>
    <t>409.8 = 2*0,13*2,15</t>
  </si>
  <si>
    <t>409.9 = 2*0,13*2,15</t>
  </si>
  <si>
    <t>409.2 = 15,5+0,09*1,245</t>
  </si>
  <si>
    <t>409.3 = 5,1+0,09*1,035</t>
  </si>
  <si>
    <t>409.7 = 0,13*1,815</t>
  </si>
  <si>
    <t>409.8 = 0,13*1,83</t>
  </si>
  <si>
    <t>409.9 = 0,13*1,845</t>
  </si>
  <si>
    <t>611423431R00_P</t>
  </si>
  <si>
    <t>DU4</t>
  </si>
  <si>
    <t>Oprava výzdoby štukového stropu včetně vyčištění, odstranění nátěrů, drobná modelace sádrových prvků, vyspravení prasklin</t>
  </si>
  <si>
    <t>409.1 = 4*(2*2,4+1,25)+4*2,11+0,75+0,8</t>
  </si>
  <si>
    <t>409.2 = 2*2,4+1,25+2*2,13+1,245+4*2,11+0,75+0,65</t>
  </si>
  <si>
    <t>409.3 = 2*2,11+0,75+2*2,155+1,035</t>
  </si>
  <si>
    <t>409.7 = 2*2,18+1,815+4*2,4+2*1,25</t>
  </si>
  <si>
    <t>409.8 = 6*2,4+3*1,25+2*2,96+1,83+6*2,15+1,83+2*0,55</t>
  </si>
  <si>
    <t>409.9 = 2*2,4+1,25+2*2,96+1,845</t>
  </si>
  <si>
    <t>409.8 = (27,81-3,5)*3,45-3*2,35*1,15-1,83*2,965-2*0,535*2,15-1,83*2,15-0,6*4,7</t>
  </si>
  <si>
    <t>Obkládání stěn vnitř.keram. do tmele do 250x200 mm, položka obsahuje lepící a spárovací tmel (kuchyň)</t>
  </si>
  <si>
    <t>Obkládání stěn vnitř.keram. do tmele 250x400mm, položka obsahuje lepící a spárovací tmel</t>
  </si>
  <si>
    <t>Keramický obklad 250/400/8mm - DEKOR, dle specifikace v PD, vč. prořezu 10% (stěna sprchy, podezdívka vany, polička u vany)</t>
  </si>
  <si>
    <t>DU3d-D</t>
  </si>
  <si>
    <t>Keramický obklad 250/200/10mm dle specifikace v PD, vč. prořezu 10%, (kuchyň)</t>
  </si>
  <si>
    <t>Keramický obklad 250/400/8mm dle specifikace v PD, vč. prořezu 10%, hnědá   (koupelna, WC)</t>
  </si>
  <si>
    <t>Keramický obklad 250/400/8mm dle specifikace v PD, vč. prořezu 10%, béžová (2x koupelna, WC)</t>
  </si>
  <si>
    <t>409.6 = 2,4*7,86+1,02*0,2</t>
  </si>
  <si>
    <t>409.5 = 2,4*4,32+0,97*0,2</t>
  </si>
  <si>
    <t>409.4 = 2,4*7,94+0,9*0,2</t>
  </si>
  <si>
    <t>D1-D</t>
  </si>
  <si>
    <t>D1-M</t>
  </si>
  <si>
    <t>https://www.ventilatory.cz/pvc-vetraci-mrizka-kruhova-s-prirubou-a-sitkou-o-100-mm-bila-x1802</t>
  </si>
  <si>
    <t>https://www.centrum-zatepleni.cz/izolacni-vata/mineralni-vata/mineralni-vata-isover-uni/</t>
  </si>
  <si>
    <t>766661132R00</t>
  </si>
  <si>
    <t>Montáž dveří do zárubně,otevíravých 2kř.do 1,45 m</t>
  </si>
  <si>
    <t>766661112R00</t>
  </si>
  <si>
    <t>Montáž dveří do zárubně,otevíravých 1kř.do 0,8 m</t>
  </si>
  <si>
    <t>Montáž kliky a štítku</t>
  </si>
  <si>
    <t>Kliky a štíty  dle specifikace v PD</t>
  </si>
  <si>
    <t>766669921R00</t>
  </si>
  <si>
    <t>Oprava dřevěných dveří - výměna zámku</t>
  </si>
  <si>
    <t>Zámek dle specifikace v PD</t>
  </si>
  <si>
    <t>Dveře dřevěné vnitřní, replika ,1křídlové 700x1970mm včetně doplňků dle specifikace v PD</t>
  </si>
  <si>
    <t>DSR-D</t>
  </si>
  <si>
    <t>D1, DSR- M</t>
  </si>
  <si>
    <t>Plynová deska, tvrzené sklo, čtyřplotýnka ref. výrobek Concept PDV7460bc, vč. montáže</t>
  </si>
  <si>
    <t xml:space="preserve">Galerka s LED osvětlením, 60x60x14cm,dub platin ref. výrobek AQUALINE - ZOJA/KERAMIA FRESH </t>
  </si>
  <si>
    <t>https://www.mall.cz/plynove-varne-desky/concept-pdv7460bc?gclid=EAIaIQobChMI0evMsq_H6QIVgYxRCh0KAAVIEAAYASAAEgLB8fD_BwE</t>
  </si>
  <si>
    <t>https://www.svet-koupelny.cz/keramia-fresh/zoja-keramia-fresh-galerka-s-halogenovym-osvetlenim-60x60x14cm-dub-platin-lev-45027/aqualine/</t>
  </si>
  <si>
    <t>DT1</t>
  </si>
  <si>
    <t>762712110RT5</t>
  </si>
  <si>
    <t>Montáž vázaných konstrukcí hraněných do 120 cm2, vč. řeziva (trámek 100/80mm) a kotvícího materiálu</t>
  </si>
  <si>
    <t>965048250R00</t>
  </si>
  <si>
    <t>Dočištění povrchu po vybourání dlažeb, MC do 50%</t>
  </si>
  <si>
    <t>965048515R00</t>
  </si>
  <si>
    <t>Broušení nerovností betonových podlah do 5 mm; odhad 10% plochy (bude upřesněno po provedení bouracích prací)</t>
  </si>
  <si>
    <t>771101210RT2</t>
  </si>
  <si>
    <t>Penetrace podkladu pod dlažby</t>
  </si>
  <si>
    <t>632415102RT2</t>
  </si>
  <si>
    <t xml:space="preserve">Potěr samonivelační ručně tl. 2 mm, vyrovnávací, pevnosti 15 MPa; odhad 100% plochy </t>
  </si>
  <si>
    <t>KD(I)1,2,PV1</t>
  </si>
  <si>
    <t>KDI1</t>
  </si>
  <si>
    <t>KDI1,2-M</t>
  </si>
  <si>
    <t>KDI1,2-D</t>
  </si>
  <si>
    <r>
      <t>Keramická dlažba 450/450mm dle specifikace</t>
    </r>
    <r>
      <rPr>
        <i/>
        <sz val="10"/>
        <color indexed="40"/>
        <rFont val="Arial"/>
        <family val="2"/>
      </rPr>
      <t xml:space="preserve"> </t>
    </r>
    <r>
      <rPr>
        <i/>
        <sz val="10"/>
        <color indexed="49"/>
        <rFont val="Arial"/>
        <family val="2"/>
      </rPr>
      <t>v PD vč. prořezu 10%, včetně lepícího tmelu</t>
    </r>
  </si>
  <si>
    <t>Montáž podlah keram.,režné hladké, včetně lepícího tmelu, 45/45cm</t>
  </si>
  <si>
    <t>KD(I)1-D</t>
  </si>
  <si>
    <r>
      <t>Keramická dlažba 250/400mm dle specifikace</t>
    </r>
    <r>
      <rPr>
        <i/>
        <sz val="10"/>
        <color indexed="40"/>
        <rFont val="Arial"/>
        <family val="2"/>
      </rPr>
      <t xml:space="preserve"> </t>
    </r>
    <r>
      <rPr>
        <i/>
        <sz val="10"/>
        <color indexed="49"/>
        <rFont val="Arial"/>
        <family val="2"/>
      </rPr>
      <t>v PD vč. prořezu 10%, včetně lepícího tmelu</t>
    </r>
  </si>
  <si>
    <t>T02 D+M</t>
  </si>
  <si>
    <t>https://www.kachlikarna.cz/koupelny/dlazba-basic-tortola-45x45/</t>
  </si>
  <si>
    <t>https://www.kachlikarna.cz/obklad/dekor-basic-nantes-mix-25x40/</t>
  </si>
  <si>
    <t>https://www.kachlikarna.cz/obklad/obklad-basic-tortola-25x40/</t>
  </si>
  <si>
    <t>https://www.koupelny-venta.cz/obklad-fineza-ricordi-bleu-20x25-cm-lesk/51490/produkt</t>
  </si>
  <si>
    <t>Deska EPS 150, tl.40mm, (500x1000mm)</t>
  </si>
  <si>
    <t>775592000R00</t>
  </si>
  <si>
    <t>Broušení dřevěných podlah hrubé+střední+jemné</t>
  </si>
  <si>
    <t>775101101R00</t>
  </si>
  <si>
    <t xml:space="preserve">Vysávání podlah prům.vysavačem </t>
  </si>
  <si>
    <t>775599130R00</t>
  </si>
  <si>
    <t xml:space="preserve">Tmelení spár parket pryskyřicí, odhad 40% plochy </t>
  </si>
  <si>
    <t>775599141R00</t>
  </si>
  <si>
    <t>Lak dřevěných podlah 2x dle specifikace v PD, 1x základ, přebroušení, 2x lak.</t>
  </si>
  <si>
    <t>775413040R00</t>
  </si>
  <si>
    <t xml:space="preserve">Montáž dřevěné soklové podlahové lišty </t>
  </si>
  <si>
    <t>Podlahová lišta dle specifikace v PD vč. prořezu 10%</t>
  </si>
  <si>
    <t>https://www.drevene-listy-eshop.cz/drevene-listy/eshop/4-1-DUBOVE-LISTY/0/5/2-LISTA-PARKETOVA-dub</t>
  </si>
  <si>
    <t>775511903R00</t>
  </si>
  <si>
    <t>Doplnění podlah vlys.do tmele, do 2 m2 - bez vlysů, fakturováno dle skutečnosti bez materiálu</t>
  </si>
  <si>
    <t>632411904R00</t>
  </si>
  <si>
    <t>Penetrace savých podkladů, vč. dodávky  0,25 l/m2</t>
  </si>
  <si>
    <t>632415104RT2</t>
  </si>
  <si>
    <t>Položení podlah lamelových se zámkovým spojem</t>
  </si>
  <si>
    <t>Přírážka za plošné lepení k podkladu, vč. lepidla</t>
  </si>
  <si>
    <t>Podlahy lamelové - dřevo, specifikace dle PD, vč. prořezu 10%</t>
  </si>
  <si>
    <t>https://iparador.cz/drevene-podlahy/2345-parador-trendtime-8-dub-limed-handcrafted-4v-trivrstva-drevena-podlaha-plovouci.html</t>
  </si>
  <si>
    <t>Demontáž plynového ohřívače vody</t>
  </si>
  <si>
    <t>Demontáž dřevěného obložení stěn</t>
  </si>
  <si>
    <t>767900010RAA</t>
  </si>
  <si>
    <t>Likvidace nábytku</t>
  </si>
  <si>
    <t>Demontáž ohřívače vody</t>
  </si>
  <si>
    <t>725220841R00</t>
  </si>
  <si>
    <t>Demontáž ocelové vany</t>
  </si>
  <si>
    <t>725514801R00_P</t>
  </si>
  <si>
    <t>vsazení odbočky na PVC potrubí DN 110 (HTED,  DN110/110/110/67°) napojená na PVC potrubí</t>
  </si>
  <si>
    <t>vsazení odbočky na PVC potrubí DN 75 (HT,  DN75/75/50/67°) napojená na PVC potrubí</t>
  </si>
  <si>
    <t>721170955R00</t>
  </si>
  <si>
    <t>Vyvedení odpadních výpustek D 50 x 1,8 (vana)</t>
  </si>
  <si>
    <t>Vodní zápachová uzávěrka DN32 pro odvod kondenzátu (kotel) s přídavnou mechanickou zápachovou uzávěrkou (kulička), podomítkové provedení. (ref. v. H138)</t>
  </si>
  <si>
    <t>Izolace návleková  tl. stěny 13 mm vnitřní průměr 32 mm</t>
  </si>
  <si>
    <t>Kohout kulový nerozebíratelný PP-R D 32</t>
  </si>
  <si>
    <t>Kohout kulový nerozebíratelný PP-R D 25</t>
  </si>
  <si>
    <t>https://www.koupelnovevybaveni.cz/hopa-plovdiv-sprchova-vanicka-100x80-cm-vankplo10n2</t>
  </si>
  <si>
    <t>725229102RT2</t>
  </si>
  <si>
    <t>Montáž van ocel. a plastových s uzávěr. HL 500-5/4 (vč. napojení na sifon)</t>
  </si>
  <si>
    <t>Vana, smaltovaná ocel, 1700/700mm, tloušťka oceli 1,5 mm - specifikace dle PD</t>
  </si>
  <si>
    <r>
      <t>Vanová odpadová přepadová soustava vč. zápachové uzávěry s otočným kolenem</t>
    </r>
    <r>
      <rPr>
        <i/>
        <sz val="10"/>
        <color indexed="15"/>
        <rFont val="Arial"/>
        <family val="2"/>
      </rPr>
      <t>,</t>
    </r>
    <r>
      <rPr>
        <i/>
        <sz val="10"/>
        <color indexed="49"/>
        <rFont val="Arial"/>
        <family val="2"/>
      </rPr>
      <t xml:space="preserve"> DN50, uzavírání odpadu pomocí bovdenového ovládání, chrom, průtok 51,6 l/min, průtok přepad 42 l/min</t>
    </r>
  </si>
  <si>
    <t>https://www.koupelny-ptacek.cz/vana-smaltovana-jika-klasicka-riga-3407-0-000-170x70-cm-bila</t>
  </si>
  <si>
    <t>https://jika-shop.cz/lyra-plus-klozet-zavesny-49-cm-compact-hluboke-splachovani-bily-663152338201/</t>
  </si>
  <si>
    <t>https://jika-shop.cz/sedatko-lyra-plus-duroplast-se-zpomalovacim-mechanismem-plastove-uchyty-bile-zavesne-klozety-6631593/</t>
  </si>
  <si>
    <t>https://jika-shop.cz/tlacitko-ovladaci-jika-pl3-single-flush-matny-chrom-663909366000/</t>
  </si>
  <si>
    <t>https://jika-shop.cz/jika-basic-wc-system-modul-pro-zavesne-wc-pro-predezdeni-663909365100/</t>
  </si>
  <si>
    <t>725119306R00</t>
  </si>
  <si>
    <t>Montáž klozetu závěsného</t>
  </si>
  <si>
    <t>Uzávěrka zápachová pračková (myčka) podomítková,plast. krytka</t>
  </si>
  <si>
    <t>725869203R00_P</t>
  </si>
  <si>
    <t>https://www.vodo-plasttop.cz/podomitkova-zapachova-uzaverka-hl405-sifon-prackovy</t>
  </si>
  <si>
    <t>https://www.vodo-plasttop.cz/sifon-prackovy-podomitkovy-bily-eppp450</t>
  </si>
  <si>
    <t>Vložkování komínového průduchu potrubím Ø 110 mm</t>
  </si>
  <si>
    <t>Nerezová hadice FLEX, stěna 2x 0,12mm, DN110</t>
  </si>
  <si>
    <t>https://www.kominexpres.cz/produkt/ohebna-kominova-vlozka-dn110-mm-tl-2x012-mm-flex-turbo/1366</t>
  </si>
  <si>
    <t>725514802R00</t>
  </si>
  <si>
    <t>Přechodový prvek mezikus (ocel/mědˇ)</t>
  </si>
  <si>
    <t>Zaslepení původní odbočky</t>
  </si>
  <si>
    <t>Navaření nové odbočky na plynové potrubí DN 25</t>
  </si>
  <si>
    <t>Potrubí měděné polotvrdé spojované měkkým pájením D 15x1</t>
  </si>
  <si>
    <t>Potrubí měděné polotvrdé spojované měkkým pájením D 18x1</t>
  </si>
  <si>
    <t>Potrubí měděné polotvrdé spojované měkkým pájením D 22x1</t>
  </si>
  <si>
    <t>Tlaková zkouška Cu potrubí do D 35</t>
  </si>
  <si>
    <t>Kohouty plnící a vypouštěcí ČSN 13 7061, G1/2</t>
  </si>
  <si>
    <t>Stavební přípomoce - drážky, prostupy, zapravení</t>
  </si>
  <si>
    <t>Potrubí měděné polotvrdé spojované měkkým pájením D 28x1,5</t>
  </si>
  <si>
    <t>Ocelové deskové tělesa Korado Radik ventil kompakt  22VK500/800</t>
  </si>
  <si>
    <t>Ocelové deskové tělesa Korado Radik ventil kompakt  22VK500/1600</t>
  </si>
  <si>
    <t>Ocelové deskové tělesa Korado Radik ventil kompakt  33VK500/400</t>
  </si>
  <si>
    <t>Ocelové deskové tělesa Korado Radik ventil kompakt  33VK500/900</t>
  </si>
  <si>
    <t>Ocelové deskové tělesa Korado Radik ventil kompakt  33VK500/1200</t>
  </si>
  <si>
    <t>849_Zborovská_1188_bj_9/6</t>
  </si>
  <si>
    <t>jen materiál</t>
  </si>
  <si>
    <t>svítidlo B, IP44 tř. II, LED 10W do koupelny</t>
  </si>
  <si>
    <t>A – svítidlo nástěnné LED, 12W, IP20</t>
  </si>
  <si>
    <t>svítidlo  pod linku bez vypínače LED 10W</t>
  </si>
  <si>
    <t>spínač č.5 - sériový</t>
  </si>
  <si>
    <t>spínač č.7 - křížový</t>
  </si>
  <si>
    <t xml:space="preserve">tlačítkový ovladač </t>
  </si>
  <si>
    <t>rámeček 4x, trojrámeček</t>
  </si>
  <si>
    <t>rozvaděč provedení do zdi, IP30, 36 modulů</t>
  </si>
  <si>
    <t>svodič přepětí SPB -12/280/4 B+C</t>
  </si>
  <si>
    <t>proudový chránič 10/1N/0,03</t>
  </si>
  <si>
    <t>přrážka za podružný materiál</t>
  </si>
  <si>
    <t>Plynové kotel, specifikace dle PD část D14</t>
  </si>
  <si>
    <t>Revizní kus na potrubí nad kotlem - kocentrické potrubí DN 80/125mm</t>
  </si>
  <si>
    <t>https://kotle.heureka.cz/vaillant-vuw-246-5-5-ecotec-plus/specifikace/#section</t>
  </si>
  <si>
    <t>https://www.topenilevne.cz/vaillant-vrt-50-p51506/</t>
  </si>
  <si>
    <t>https://www.akoupelnyatopeni.cz/topeni-a-ohrev-vody/korado-koralux-linear-comfort-kltm-1500-500-stredove-pripojeni</t>
  </si>
  <si>
    <t>https://www.heatshop.cz/Elektricka-topna-patrona-300W-termostat-d743.htm</t>
  </si>
  <si>
    <t>Rezerva pro rozsáhlejší repasy vstupních dveří - po odkrytí opláštění</t>
  </si>
  <si>
    <t>https://www.truhlarna-chribska.cz/?action=priblizne_ceny</t>
  </si>
  <si>
    <t>766411821R00_P</t>
  </si>
  <si>
    <t>Úprava vstupních dveří, šetrná demon. opláštění, zachováni závory</t>
  </si>
  <si>
    <t>Repase vnitřních dveří dvoukřídlých a obložkové zárubně</t>
  </si>
  <si>
    <t>Repase vnitřních dveří jednokřídlých a obložkové zárubně</t>
  </si>
  <si>
    <t>Repase vstupních dveří a obložkové zárubně</t>
  </si>
  <si>
    <t>https://www.remeslapraha.cz/co-delame/renovace-dveri/</t>
  </si>
  <si>
    <t>54926001_P</t>
  </si>
  <si>
    <t>54914585_P</t>
  </si>
  <si>
    <t>Práh dřevěný d. 1150 mm, š.200mm, vč. povrchové úpravy a kotvení, tl.20mm</t>
  </si>
  <si>
    <t>Práh dřevěný d. 1150 mm, š.200mm, vč. povrchové úpravy a kotvení tl. 20mm</t>
  </si>
  <si>
    <t>https://www.spalensky.com/e/ostatni-drevene-vyrobky-676/dverni-prahy-971/?page=1&amp;sort=title&amp;parameters=2582</t>
  </si>
  <si>
    <t>650kč/m2</t>
  </si>
  <si>
    <t>http://www.renovace-interieru.cz/renovace-dveri-a-zarubni</t>
  </si>
  <si>
    <t>3500kč/m2+3000/záruben</t>
  </si>
  <si>
    <t>REZERVA</t>
  </si>
  <si>
    <t>Repase oken a balkonových dveří, vč. montáže kování</t>
  </si>
  <si>
    <t>766812114R00_P</t>
  </si>
  <si>
    <t>https://digestore.heureka.cz/faber-inca-lux-2_0-eg8-x-a70/specifikace/#section</t>
  </si>
  <si>
    <t>775541600R00</t>
  </si>
  <si>
    <t>721171808R00_P</t>
  </si>
  <si>
    <t>721290111R00_P</t>
  </si>
  <si>
    <t>Demontáž připojovacího potrubí kanalizace</t>
  </si>
  <si>
    <t>722260801R00</t>
  </si>
  <si>
    <t>Demontáž vodoměrů přírubových DN 50</t>
  </si>
  <si>
    <t>722260902R00_P</t>
  </si>
  <si>
    <t>Návleková izolace potrubí VZT prům. 125mm</t>
  </si>
  <si>
    <t>713381411R00_P</t>
  </si>
  <si>
    <t>https://www.ventilatory.cz/izolacni-navlek-o-125-mm-delka-5-m-x12563</t>
  </si>
  <si>
    <t>https://www.aaaradiatory.cz/cu-trubka-supersan-28x1-5-p15537/</t>
  </si>
  <si>
    <t>733163102R00</t>
  </si>
  <si>
    <t>733163103R00</t>
  </si>
  <si>
    <t>733163104R00</t>
  </si>
  <si>
    <t>733163105R00</t>
  </si>
  <si>
    <t>733190306R00</t>
  </si>
  <si>
    <t>Montáž otopných těles koupelnových (žebříků)</t>
  </si>
  <si>
    <t>735179110R00</t>
  </si>
  <si>
    <t>735171350R00_P</t>
  </si>
  <si>
    <t>735171373R00_P</t>
  </si>
  <si>
    <t>Příplatek za zaoblení omítky štukové</t>
  </si>
  <si>
    <t>Doplnění vlysů, rozměry dle stávajících</t>
  </si>
  <si>
    <t>Potrubí měděné pro chráničky D 28x1,5</t>
  </si>
  <si>
    <t>Potrubí měděné pro chráničky D 35x1,5</t>
  </si>
  <si>
    <t>733163106R00</t>
  </si>
  <si>
    <t>722130801R00</t>
  </si>
  <si>
    <t>728112812R00</t>
  </si>
  <si>
    <t>Demontáž potrubí plechového kruhového do d 200 mm, připojovací potrubí odkouření</t>
  </si>
  <si>
    <t>https://www.koupelnovevybaveni.cz/flexira-hadice-xconnect-gas-basic-1000-mm-r1-2-g1-2-h121g1-10</t>
  </si>
  <si>
    <t>5513101491_P</t>
  </si>
  <si>
    <t>Hadice flexi plyn 1000 mm, nerezová hadice s nerezovými převlečnými maticemi 1/2" na obou stranách s plochým těsněním NBR.</t>
  </si>
  <si>
    <t>34196376_P</t>
  </si>
  <si>
    <t>Koleno DN80/125,2x45°</t>
  </si>
  <si>
    <t xml:space="preserve">Přísluš. odkouření kotle,prům.80/125mm,připojení na komín  </t>
  </si>
  <si>
    <t>Přísluš. kotle-prům.80/125mm, prodl.kus1,0 m</t>
  </si>
  <si>
    <t>731412211R00_P</t>
  </si>
  <si>
    <t>Koncentrické potrubí pro přívod a odvod kouře 125/80mm, svislé, vč. příslušenství (kotevní prvky, komínová hlava a pod)</t>
  </si>
  <si>
    <t>https://www.kominycz-eshop.cz/Koncentricka-trubka-80-125-delka-1000mm-d609.htm</t>
  </si>
  <si>
    <t>https://www.ypsilonplus.cz/kk-s-filtrem-filterball-51f</t>
  </si>
  <si>
    <t>979011219R00</t>
  </si>
  <si>
    <t>Přípl.k svislé dopr.suti za každé další NP nošením</t>
  </si>
  <si>
    <t>979082111R00</t>
  </si>
  <si>
    <t>Vnitrostaveništní doprava suti a vybouraných hmot do 10 m</t>
  </si>
  <si>
    <t>Vnitrostaveništní doprava suti a vybouraných hmot do 10m</t>
  </si>
  <si>
    <t>979990001R00_P</t>
  </si>
  <si>
    <t>Poplatek za skládku materiálu</t>
  </si>
  <si>
    <t>979095312R00</t>
  </si>
  <si>
    <t>Naložení a složení suti</t>
  </si>
  <si>
    <t>766825811R00_P</t>
  </si>
  <si>
    <t>998011003R00_P</t>
  </si>
  <si>
    <t>Vedlejší rozpočtové náklady</t>
  </si>
  <si>
    <t>M.J.</t>
  </si>
  <si>
    <t>Množství</t>
  </si>
  <si>
    <t>Jedn. cena</t>
  </si>
  <si>
    <t>Cena celkem</t>
  </si>
  <si>
    <t>VRN1</t>
  </si>
  <si>
    <t xml:space="preserve">Průzkumné, geodetické a projektové práce </t>
  </si>
  <si>
    <t>VRN2</t>
  </si>
  <si>
    <t xml:space="preserve">Příprava staveniště </t>
  </si>
  <si>
    <t>Do této položky patří náklady spojené:</t>
  </si>
  <si>
    <t>VRN3</t>
  </si>
  <si>
    <t xml:space="preserve">Zařízení staveniště </t>
  </si>
  <si>
    <t>V rámci nákladů na zařízení staveniště ocení zhotovitel veškeré náklady spojené s vybudováním, provozem a odstraněním zařízení staveniště, a to ve fázích:</t>
  </si>
  <si>
    <t>VRN4</t>
  </si>
  <si>
    <t>Inženýrská činnost</t>
  </si>
  <si>
    <t xml:space="preserve">Náklady spojené s dohledem v prostorách a místech, ve kterých bylo prováděno svařování a řezání - dohled bude prováděn minimálně po dobu 8 hodin od ukončení prací (ČSN 050601) </t>
  </si>
  <si>
    <t>Náklady na součinnost při kolaudaci v rámci plánované etapizace výstavby</t>
  </si>
  <si>
    <t>VRN5</t>
  </si>
  <si>
    <t>Finanční náklady</t>
  </si>
  <si>
    <t>VRN6</t>
  </si>
  <si>
    <t>Provozní vlivy</t>
  </si>
  <si>
    <t>VRN7</t>
  </si>
  <si>
    <t>Ostatní náklady</t>
  </si>
  <si>
    <t>Ostatní materiály, práce, dodávky, služby a výkony jinde neuvedené</t>
  </si>
  <si>
    <t xml:space="preserve"> - Ostatní materiály, práce, dodávky, služby, ztížené výrobní podmínky související s umístěním stavby a výkony neuvedené v položkových soupisech jednotlivých částí zakázky, potřebné k provedení, dokončení a předání bezvadného díla (jedná se o veškeré samostatně nerozpočtované práce, materiály, výkony, služby a konstrukce), vyplývající ze smlouvy o dílo, dotačního titulu, projektové dokumentace nebo správních rozhodnutí a dokladů shromážděných v dokladové části projektu či jinde. Součástí této položky je i doprava pracovníků na staveniště. Dále sem patří veškeré samostatně nerozpočtované práce a dodávky (dodavatel je povinen provést kontrolu a případnou opravu soupisu prací v rámci podání nabídky na stavební práce). </t>
  </si>
  <si>
    <t xml:space="preserve">Zabezpečení stávajících zařízení a vybavení   </t>
  </si>
  <si>
    <t>Náklady spojené s povinným pojištěním dodavatele dle požadavku objednatele, náklady na požadovanou bankovní záruku za splnění závazku provést dílo-stavbu, je-li tato bankovní záruka pořadována v zadavacích či jiných podmínkách a dokumentech, jež jsou součástí zadavací dokumentace.</t>
  </si>
  <si>
    <t xml:space="preserve"> - s účastí zhotovitele na předání a převzetí staveniště
 - náklady na přezkoumání podkladů o stavu sítí vedených v řešeném objektu
 - náklady na vyhotovení návrhu dočasného dopravního značení a zvláštního užívání komunikace, vč. projednání, odsouhlasení s dotčenými orgány a organizacemi a zajištění správních rozhodnutí, dodání dopravních značek a světelné signalizace, jejich rozmístění a přemísťování a jejich údržba v průběhu výstavby včetně následného odstranění, poplatky za správní řízení, splnění podmínek správních rozhodnutí a orgánu DOSS.  
 - Bezpečnostní a hygienická opatření na staveništi, náklady na ochranu staveniště před vstupem nepovolaných osob, včetně příslušného značení, náklady na ohraničení staveniště či na jeho osvětlení, náklady na vypracování potřebné dokumentace pro provoz staveniště z hlediska požární ochrany (požární řád a poplachová směrnice) a z hlediska provozu staveniště (provozně dopravní řád)
 - náklady na koordinaci s dalšími zhotoviteli </t>
  </si>
  <si>
    <t>Náklady na předání dokladové části  o vlastnostech materiálů, o provedených zkouškách a měření, o výchozích kontrolách provozuschopnosti,  o zaškolení obsluhy, revizní zprávy s výsledkem-bez závad, doklady o oprávnění k provádění prací, doklady o likvidaci odpadů, návody k obsluze, kopie záručních listů   - 2x tištěně a 1x v elektronické podobě</t>
  </si>
  <si>
    <t>Vedlejší rozpočtové náklady (VRN)</t>
  </si>
  <si>
    <t>Rozdělení podle investic a oprav (bez VRN a DPH)</t>
  </si>
  <si>
    <t>Rozdělení podle investic a oprav vč. VRN bez DPH</t>
  </si>
  <si>
    <t>Rozdělení VRN podle investic a oprav</t>
  </si>
  <si>
    <t>28349014_P</t>
  </si>
  <si>
    <t>28349060_P</t>
  </si>
  <si>
    <t>346971152R00_P</t>
  </si>
  <si>
    <t>342264101R00</t>
  </si>
  <si>
    <t>342264513R00_P</t>
  </si>
  <si>
    <t>781147P001</t>
  </si>
  <si>
    <t>781147P002</t>
  </si>
  <si>
    <t>781147P003</t>
  </si>
  <si>
    <t>781147P004</t>
  </si>
  <si>
    <t>781497132R00_P</t>
  </si>
  <si>
    <t>781497121R00_P</t>
  </si>
  <si>
    <t>Hydroizolační stěrka dvouvrstvá, pod obklady</t>
  </si>
  <si>
    <t>https://www.dek.cz/produkty/detail/1640140505-weber-akryzol-hydroizolacni-hmota-15kg?tab_id=popis</t>
  </si>
  <si>
    <t>585811012_P</t>
  </si>
  <si>
    <t>23152419_P</t>
  </si>
  <si>
    <t>61168601.A_P</t>
  </si>
  <si>
    <t>766669921R_P01</t>
  </si>
  <si>
    <t>766669921R_P02</t>
  </si>
  <si>
    <t>766669921R_P03</t>
  </si>
  <si>
    <t>766669921R_P04</t>
  </si>
  <si>
    <t>924952311R00_P01</t>
  </si>
  <si>
    <t>924952311R00_P02</t>
  </si>
  <si>
    <t>766669921R_P05</t>
  </si>
  <si>
    <t>61581624.A_P</t>
  </si>
  <si>
    <t>615290744_P</t>
  </si>
  <si>
    <t>54112115_P</t>
  </si>
  <si>
    <t>728414611R00_P</t>
  </si>
  <si>
    <t>53821107_P</t>
  </si>
  <si>
    <t>781147P006</t>
  </si>
  <si>
    <t>781147P005</t>
  </si>
  <si>
    <t>781147P007</t>
  </si>
  <si>
    <t>23152401_P</t>
  </si>
  <si>
    <t>61151472_P</t>
  </si>
  <si>
    <t>776521200RT1_P</t>
  </si>
  <si>
    <t>61151391_P</t>
  </si>
  <si>
    <t>61413711_P</t>
  </si>
  <si>
    <t>5537000213_P</t>
  </si>
  <si>
    <t>64213637_P</t>
  </si>
  <si>
    <t>551620220_P</t>
  </si>
  <si>
    <t>551620208_P</t>
  </si>
  <si>
    <t>551620214_P</t>
  </si>
  <si>
    <t>551620240_P</t>
  </si>
  <si>
    <t>55145015_P</t>
  </si>
  <si>
    <t>55145001_P</t>
  </si>
  <si>
    <t>55145009_P</t>
  </si>
  <si>
    <t>642938111_P</t>
  </si>
  <si>
    <t>55484470.A_P</t>
  </si>
  <si>
    <t>725224138R00</t>
  </si>
  <si>
    <t>55231355_P</t>
  </si>
  <si>
    <t>725014163R00_P</t>
  </si>
  <si>
    <t>726212321R00_P</t>
  </si>
  <si>
    <t>725860186RT1</t>
  </si>
  <si>
    <t>725860184RT1</t>
  </si>
  <si>
    <t>725810402R00</t>
  </si>
  <si>
    <t>Montážní rámeček kruhový VP 125 KMR</t>
  </si>
  <si>
    <t>Spojka potrubí kruhová VP 125 KS</t>
  </si>
  <si>
    <t>42981182_P</t>
  </si>
  <si>
    <t>4298150103_P</t>
  </si>
  <si>
    <t>728112112R00</t>
  </si>
  <si>
    <t>Montáž potrubí plechového kruhového do d 200 mm</t>
  </si>
  <si>
    <t>Montáž ventilátoru radiál.  na potrub. do 0,07 m2</t>
  </si>
  <si>
    <t>42911714_P</t>
  </si>
  <si>
    <t>Ukončovací výfuková hlavice, včetně propojovacích prvků</t>
  </si>
  <si>
    <t>55348430.A_P</t>
  </si>
  <si>
    <t>283771006_P</t>
  </si>
  <si>
    <t>283771020_P</t>
  </si>
  <si>
    <t>283771031_P</t>
  </si>
  <si>
    <t>283771120_P</t>
  </si>
  <si>
    <t>735191910R00</t>
  </si>
  <si>
    <t>Napuštění topného systému</t>
  </si>
  <si>
    <t>Odvzdušnění ut těles</t>
  </si>
  <si>
    <t>735191905R00</t>
  </si>
  <si>
    <t>Zakrytí stávajícíh dřevěných podlah, geotextilí</t>
  </si>
  <si>
    <t>784011222R00_P</t>
  </si>
  <si>
    <t>220711301R00_P</t>
  </si>
  <si>
    <t>Autonomní hlásič kouře, vč. montáže</t>
  </si>
  <si>
    <t xml:space="preserve">Provedení revize plynovodu </t>
  </si>
  <si>
    <t>723190909R00_P</t>
  </si>
  <si>
    <t>723160204R00</t>
  </si>
  <si>
    <t>723160334R00</t>
  </si>
  <si>
    <t>Rozpěrka přípojky plynoměru G 1</t>
  </si>
  <si>
    <t>220261662R00_P</t>
  </si>
  <si>
    <t>723160804R00</t>
  </si>
  <si>
    <t>733193932R00_P</t>
  </si>
  <si>
    <t>5534338499_P</t>
  </si>
  <si>
    <t>Rezerva - úprava střešní krytiny, manžeta protidešťová</t>
  </si>
  <si>
    <t>953802114R00</t>
  </si>
  <si>
    <t>28349062_P</t>
  </si>
  <si>
    <t>762521811R00_P</t>
  </si>
  <si>
    <t>762810010RAB</t>
  </si>
  <si>
    <t>631581111R00_P</t>
  </si>
  <si>
    <t>Zpětný zásypů škvárou o ploše do 2 m2, tl.45mm</t>
  </si>
  <si>
    <t>24612230_P</t>
  </si>
  <si>
    <t>Přemístění vodoměru a uzávěru vody a úpravy potrubí</t>
  </si>
  <si>
    <t>Tepelná izolace, TI pružná λ=0,035(vnější Ø potrubí/tlouštka TI) (vnější průměr potrubí/tloušťka izolace  15/8</t>
  </si>
  <si>
    <t>Tepelná izolace, TI pružná λ=0,035(vnější Ø potrubí/tlouštka TI) (vnější průměr potrubí/tloušťka izolace 18/11,5</t>
  </si>
  <si>
    <t>Tepelná izolace, TI pružná λ=0,035(vnější Ø potrubí/tlouštka TI) (vnější průměr potrubí/tloušťka izolace  22/14,5</t>
  </si>
  <si>
    <t>Tepelná izolace, TI pružná λ=0,035(vnější Ø potrubí/tlouštka TI) (vnější průměr potrubí/tloušťka izolace  28/17</t>
  </si>
  <si>
    <t>Ventily odvzdušňovací automatické, G1/2</t>
  </si>
  <si>
    <t>Termostatické hlavice s vestavěným čidlem</t>
  </si>
  <si>
    <t xml:space="preserve">Montáž SDK podhledu jednoduše opláštěného na samonosný rošt s parotěsnou zábranou, vč dodávky nosných profilů  tmelení, broušení a zatmelení návazností na zděné stěny (akrylátovým tmelem) </t>
  </si>
  <si>
    <t xml:space="preserve">Montáž SDK podhledu jednoduše opláštěného na samonosný rošt, vč dodávky nosných profilů  tmelení, broušení a zatmelení návazností na zděné stěny (akrylátovým tmelem) </t>
  </si>
  <si>
    <t>Ocelové deskové tělesa Korado Radik ventil kompakt  11VK500/500</t>
  </si>
  <si>
    <t>416021123R00_P</t>
  </si>
  <si>
    <t>416021121R00_P</t>
  </si>
  <si>
    <t>735158210R00</t>
  </si>
  <si>
    <t>Tlakové zkoušky panelových těles 1řadých</t>
  </si>
  <si>
    <t>735158220R00</t>
  </si>
  <si>
    <t>Tlakové zkoušky panelových těles 2řadých</t>
  </si>
  <si>
    <t>735158230R00</t>
  </si>
  <si>
    <t>Tlakové zkoušky panelových těles 3řadých</t>
  </si>
  <si>
    <t>735159110R00</t>
  </si>
  <si>
    <t>Montáž panelových těles 1řadých do délky 1500 mm</t>
  </si>
  <si>
    <t>735159230R00</t>
  </si>
  <si>
    <t>Montáž panelových těles 2řadých do délky 1980 mm</t>
  </si>
  <si>
    <t>735159320R00</t>
  </si>
  <si>
    <t>Montáž panelových těles 3řadých do délky 1500 mm</t>
  </si>
  <si>
    <t>735157241R00</t>
  </si>
  <si>
    <t>735157644R00</t>
  </si>
  <si>
    <t>735157650R00</t>
  </si>
  <si>
    <t>735157740R00</t>
  </si>
  <si>
    <t>735157745R00</t>
  </si>
  <si>
    <t>735157748R00</t>
  </si>
  <si>
    <t>5512001400_P</t>
  </si>
  <si>
    <t>734293312R00_P</t>
  </si>
  <si>
    <t>734215133R00_P</t>
  </si>
  <si>
    <t>734233112R00_P</t>
  </si>
  <si>
    <t>Kohout kulový, vnitř.-vnitř., G 3/4</t>
  </si>
  <si>
    <t>Kohout kulový s filtrem, vnitř.-vnitř., G 3/4</t>
  </si>
  <si>
    <t>734293272RP0_P</t>
  </si>
  <si>
    <t>734209103R00</t>
  </si>
  <si>
    <t>Montáž armatur závitových,s 1závitem, G 1/2</t>
  </si>
  <si>
    <t>Montáž armatur závitových,se 2závity, G 3/4</t>
  </si>
  <si>
    <t>734209114R00</t>
  </si>
  <si>
    <t>734223223R00_P</t>
  </si>
  <si>
    <t>Radiátorové šroubení uzavírací s vyp. funkcí rohové G1/2, pro dvojtrubkový systém</t>
  </si>
  <si>
    <t>Radiátorová armatura s přednastavením rohová pro stř. p. G3/4,pro dvojtrubkový systém, bez hlavice</t>
  </si>
  <si>
    <t>734209113R00</t>
  </si>
  <si>
    <t>Montáž armatur závitových,se 2závity, G 1/2</t>
  </si>
  <si>
    <t>Přípojka k plynoměru G1</t>
  </si>
  <si>
    <t>723166002R00</t>
  </si>
  <si>
    <t>Zhotov.ohybu jednoduchého na potrubí Cu D 15, plyn</t>
  </si>
  <si>
    <t xml:space="preserve"> - Zabezpečení stávajících zařízení a vybavení proti mechanickému poškození, prachu,zatečení (při opravách a rekonstrukcích) - položka zahrnuje každodenní zabezpečování objektu (po dobu trvání stavby) proti zatečení zakrýváním účinným způsobem, pokud vlivem špatného zabezpečení stavby dojde ke škodám na budově, budou tyto škody zhotovitelem odstraněny na jeho náklady neprodleně (a zároveň nejpozději před předáním stavby investorovi)
- Náklady na kompletační činnost včetně denních úklidů staveniště a závěrečného úklidu</t>
  </si>
  <si>
    <t xml:space="preserve"> - Vybudování zařízení staveniště - náklady na zřízení přípojek energií, vybudování případných měřících odběrných míst a vlastní vybudování objektů zařízení staveniště vč. soc. zázemí
 - Provoz zařízení staveniště -  náklady na energie spotřebované dodavatelem v rámci provozu zařízení staveniště, náklady na potřebný úklid v prostorách zařízení staveniště, náklady na nutnou údržbu a opravy na objektech zařízení staveniště a na přípojkách energií.
- Odstranění zařízení staveniště. Položka zahrnuje i náklady na úpravu povrchů po odstranění zařízení staveniště a úklid ploch, na kterých bylo zařízení staveniště provozováno.
 - Součástí této položky jsou standardní prvky BOZP (včetně jejich dodávky, montáže, údržby a demontáže, respektive likvidace) a plnění povinosti vyplývajících z plánu BOZP včetně připomínek příslušných úřadů. Součástí položky Zařízení staveniště je poskytnutí části zařízení staveniště pro umožnění činnosti TD, AD a SÚ za účelem konání kontrolním dnů a všech dalších svolávaných jednání (předpokládá se čistý prostor - např. stavební buňka či jiná kancelář stavby).
- uvedení plochy pro zařízení staveniště do původního stavu</t>
  </si>
  <si>
    <t>Stavební úpravy bytové jednotky č.6,
 Zborovská 1188/8, 150 00 Praha 5</t>
  </si>
  <si>
    <t>Nákladů na ztížené podmínky provádění tam, kde jsou stavební práce zcela nebo zčásti omezovány provozem jiných osob. Jedná se zejména o zvýšené náklady související s omezením provozem v objektu, náklady v důsledku nezbytného respektování stávající dopravy v okolí stavby ovlivňující stavební práce (ochrana kolem vstupů do budovy). Náklady na ztížené provádění stavebních prací v důsledku provozu budovy po dobu stavby (nutnost ochranných konstrukcí, ochranných zábradlí a hrazení, apod.). Bytový dům bude investorem užíván po celou dobu stavby ke svému obvyklému účelu a náklady s tím spojené jsou součástí této položky.</t>
  </si>
  <si>
    <t>722181213RT7_P</t>
  </si>
  <si>
    <t>722181213RU1_P</t>
  </si>
  <si>
    <t>722181214RT7_P</t>
  </si>
  <si>
    <t>722202221R00_P</t>
  </si>
  <si>
    <t>722202213R00_P</t>
  </si>
  <si>
    <t>722202413R00_P</t>
  </si>
  <si>
    <t>722202414R00_P</t>
  </si>
  <si>
    <t>722190401R00</t>
  </si>
  <si>
    <t>Vyvedení a upevnění výpustek DN 15</t>
  </si>
  <si>
    <t>731249321R00</t>
  </si>
  <si>
    <t>Montáž závěsných kotlů s TUV, odtah do komína</t>
  </si>
  <si>
    <t>731249322R00_P</t>
  </si>
  <si>
    <t>Montáž odkouření kondenzačního kotle</t>
  </si>
  <si>
    <t>Montáž revizní dlaždice vany, na silikon</t>
  </si>
  <si>
    <t>28349052_P</t>
  </si>
  <si>
    <t>311271170R00_P</t>
  </si>
  <si>
    <t>Vyvedení odpadních výpustek D 32 x 1,8 (pro umyvadlo, pračku, myčku)</t>
  </si>
  <si>
    <t>429851122_P</t>
  </si>
  <si>
    <t xml:space="preserve">VZT PVC potrubí plastové kruhové hladké potrubí 125mm </t>
  </si>
  <si>
    <t>Vrtání jádrové do zdiva cihelného do D 160 mm (VZT prům. 140mm)</t>
  </si>
  <si>
    <t>970031060R00</t>
  </si>
  <si>
    <t>Vrtání jádrové do zdiva cihelného do D 60 mm (plyn, voda prům. 40mm)</t>
  </si>
  <si>
    <t>Chemickém ošetření zhlaví nosných stropních trámů</t>
  </si>
  <si>
    <t>Zpětná úprava podlahy po chemickém ošetření zhlaví nosných stropních trámů (Záklop z hrubých prken na sraz tl. 24 mm)</t>
  </si>
  <si>
    <t>Úprava sádrokartonové příčky pro osazení žebříku UT</t>
  </si>
  <si>
    <t>Utěsnění prostupu parozábranou pevnou páskou vč. dodávky pásky  podél ventilátoru, navazujících stěn)</t>
  </si>
  <si>
    <t>V06,V04</t>
  </si>
  <si>
    <t>V02,V05</t>
  </si>
  <si>
    <t>V06</t>
  </si>
  <si>
    <t>V04</t>
  </si>
  <si>
    <t xml:space="preserve">Omítka stropů, nadpraží vnitřní tenkovrstvá vápenná - štuk, ruční provedení, položka obsahuje nátěr podkladu spojovacím můstkem, </t>
  </si>
  <si>
    <t>Kuchyňská linka vč. pracovní desky, soklu, bez spotřebičů dle specifikace v PD</t>
  </si>
  <si>
    <t>Vestavná nerezová digestoř ref. výrobek.FABER Inca Lux 2.0 EG8 X A70, vč. montáže (technické parametry dle PD)</t>
  </si>
  <si>
    <t>Provedení nátěru barvou syntetickou</t>
  </si>
  <si>
    <t>073889114R00_P</t>
  </si>
  <si>
    <t>Impregnace řeziva</t>
  </si>
  <si>
    <t>762911111R00</t>
  </si>
  <si>
    <t>Úhelník nerovnoramenný L 75x100x7 mm dl. 0,3m vč. kotvení</t>
  </si>
  <si>
    <t>13335614_P</t>
  </si>
  <si>
    <t>632411104RT1</t>
  </si>
  <si>
    <t>771575111RT1</t>
  </si>
  <si>
    <t>V03- D</t>
  </si>
  <si>
    <t>V03 -M</t>
  </si>
  <si>
    <t>Vanička sprchová obdelníková 800x1100/30 mm litý mramor vč. sifonu - specifikace dle PD</t>
  </si>
  <si>
    <t>Sprchová zástěna walk-in, v lesklém chromu a výplní z čirého skla, rozměr 1100/2000 mm</t>
  </si>
  <si>
    <t>Klozet závěsný s hlubokým splachováním odpad zadní, vč. sedátka - specifikace dle PD</t>
  </si>
  <si>
    <t>Modul pro závěsné WC, pro zazdívání vč. ovládacích tlačítek, pružné podložky - matný chrom</t>
  </si>
  <si>
    <t>Prostorový termostat dle specifikace v PD</t>
  </si>
  <si>
    <t xml:space="preserve">Revize spalinové cesty </t>
  </si>
  <si>
    <t>Revize spuštění kotle po instalaci plynoměru</t>
  </si>
  <si>
    <t>zapojení digestoře, ventilátoru, pl.kotle</t>
  </si>
  <si>
    <t>Poznámka</t>
  </si>
  <si>
    <t>V01</t>
  </si>
  <si>
    <t>Samonivelační anhydritová směs 30 Mpa, ruční zprac. tl.40 mm</t>
  </si>
  <si>
    <r>
      <rPr>
        <sz val="10"/>
        <rFont val="Arial CE"/>
        <family val="2"/>
      </rPr>
      <t>Vypracoval:</t>
    </r>
    <r>
      <rPr>
        <sz val="14"/>
        <rFont val="Arial CE"/>
        <family val="2"/>
      </rPr>
      <t xml:space="preserve"> Atelier PHA spol. s r.o. </t>
    </r>
  </si>
  <si>
    <t>7.8.2020/R3</t>
  </si>
  <si>
    <t>Ocelové těleso KLT 1500.50M+ETT 300 W (vč. teplotního regulátoru)</t>
  </si>
  <si>
    <t>Ocelové těleso KLT 1820.50M+ETT 500 W (vč. teplotního regulátoru)</t>
  </si>
  <si>
    <t>Potrubí z měděných trubek D 18 mm, pájením</t>
  </si>
  <si>
    <t>Potrubí z měděných trubek D 22 mm, pájením</t>
  </si>
  <si>
    <t>Soupis prací je sestaven s využitím Cenové soustavy RTS v cenové hladině 2020/jaro</t>
  </si>
</sst>
</file>

<file path=xl/styles.xml><?xml version="1.0" encoding="utf-8"?>
<styleSheet xmlns="http://schemas.openxmlformats.org/spreadsheetml/2006/main">
  <numFmts count="9">
    <numFmt numFmtId="44" formatCode="_-* #,##0.00\ &quot;Kč&quot;_-;\-* #,##0.00\ &quot;Kč&quot;_-;_-* &quot;-&quot;??\ &quot;Kč&quot;_-;_-@_-"/>
    <numFmt numFmtId="166" formatCode="0.0%"/>
    <numFmt numFmtId="167" formatCode="0.0"/>
    <numFmt numFmtId="170" formatCode="0.000"/>
    <numFmt numFmtId="176" formatCode="#,##0\ &quot;Kč&quot;"/>
    <numFmt numFmtId="177" formatCode="#,##0.0\ &quot;Kč&quot;"/>
    <numFmt numFmtId="180" formatCode="#,##0.00\ &quot;Kč&quot;"/>
    <numFmt numFmtId="182" formatCode="_(#,##0_);[Red]\-\ #,##0_);&quot;–&quot;??;_(@_)"/>
    <numFmt numFmtId="183" formatCode="_-* #,##0\ &quot;Kč&quot;_-;\-* #,##0\ &quot;Kč&quot;_-;_-* &quot;-&quot;??\ &quot;Kč&quot;_-;_-@_-"/>
  </numFmts>
  <fonts count="52">
    <font>
      <sz val="10"/>
      <name val="Arial CE"/>
      <family val="2"/>
    </font>
    <font>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8"/>
      <color indexed="62"/>
      <name val="Cambria"/>
      <family val="2"/>
    </font>
    <font>
      <sz val="11"/>
      <color indexed="10"/>
      <name val="Calibri"/>
      <family val="2"/>
    </font>
    <font>
      <sz val="8"/>
      <name val="Arial CE"/>
      <family val="2"/>
    </font>
    <font>
      <b/>
      <sz val="10"/>
      <name val="Arial CE"/>
      <family val="2"/>
    </font>
    <font>
      <i/>
      <sz val="10"/>
      <name val="Arial CE"/>
      <family val="2"/>
    </font>
    <font>
      <sz val="14"/>
      <name val="Arial CE"/>
      <family val="2"/>
    </font>
    <font>
      <sz val="18"/>
      <name val="Arial CE"/>
      <family val="2"/>
    </font>
    <font>
      <b/>
      <sz val="16"/>
      <name val="Arial CE"/>
      <family val="2"/>
    </font>
    <font>
      <u val="single"/>
      <sz val="13"/>
      <color indexed="12"/>
      <name val="Arial CE"/>
      <family val="2"/>
    </font>
    <font>
      <b/>
      <sz val="11"/>
      <name val="Arial CE"/>
      <family val="2"/>
    </font>
    <font>
      <b/>
      <sz val="12"/>
      <name val="Arial CE"/>
      <family val="2"/>
    </font>
    <font>
      <b/>
      <sz val="14"/>
      <name val="Arial CE"/>
      <family val="2"/>
    </font>
    <font>
      <sz val="7"/>
      <name val="Arial CE"/>
      <family val="2"/>
    </font>
    <font>
      <sz val="11"/>
      <name val="Arial CE"/>
      <family val="2"/>
    </font>
    <font>
      <b/>
      <sz val="10"/>
      <name val="Arial"/>
      <family val="2"/>
    </font>
    <font>
      <i/>
      <sz val="10"/>
      <name val="Arial"/>
      <family val="2"/>
    </font>
    <font>
      <b/>
      <sz val="12"/>
      <name val="Arial"/>
      <family val="2"/>
    </font>
    <font>
      <sz val="8"/>
      <name val="Arial"/>
      <family val="2"/>
    </font>
    <font>
      <i/>
      <sz val="10"/>
      <color indexed="49"/>
      <name val="Arial"/>
      <family val="2"/>
    </font>
    <font>
      <b/>
      <sz val="11"/>
      <color indexed="8"/>
      <name val="Arial"/>
      <family val="2"/>
    </font>
    <font>
      <b/>
      <sz val="10"/>
      <color indexed="8"/>
      <name val="Arial"/>
      <family val="2"/>
    </font>
    <font>
      <sz val="10"/>
      <color indexed="8"/>
      <name val="Arial CE"/>
      <family val="2"/>
    </font>
    <font>
      <b/>
      <sz val="10"/>
      <color indexed="8"/>
      <name val="Arial CE"/>
      <family val="2"/>
    </font>
    <font>
      <sz val="7"/>
      <color indexed="8"/>
      <name val="Arial CE"/>
      <family val="2"/>
    </font>
    <font>
      <sz val="11"/>
      <color indexed="8"/>
      <name val="Arial CE"/>
      <family val="2"/>
    </font>
    <font>
      <sz val="10"/>
      <color indexed="10"/>
      <name val="Arial CE"/>
      <family val="2"/>
    </font>
    <font>
      <b/>
      <sz val="10"/>
      <color indexed="10"/>
      <name val="Arial CE"/>
      <family val="2"/>
    </font>
    <font>
      <sz val="7"/>
      <color indexed="10"/>
      <name val="Arial CE"/>
      <family val="2"/>
    </font>
    <font>
      <sz val="11"/>
      <color indexed="10"/>
      <name val="Arial CE"/>
      <family val="2"/>
    </font>
    <font>
      <i/>
      <sz val="10"/>
      <color indexed="30"/>
      <name val="Arial"/>
      <family val="2"/>
    </font>
    <font>
      <sz val="10"/>
      <color indexed="49"/>
      <name val="Arial"/>
      <family val="2"/>
    </font>
    <font>
      <sz val="10"/>
      <color indexed="10"/>
      <name val="Arial"/>
      <family val="2"/>
    </font>
    <font>
      <sz val="10"/>
      <name val="Calibri"/>
      <family val="2"/>
    </font>
    <font>
      <i/>
      <vertAlign val="superscript"/>
      <sz val="10"/>
      <color indexed="49"/>
      <name val="Arial"/>
      <family val="2"/>
    </font>
    <font>
      <b/>
      <sz val="11"/>
      <name val="Calibri"/>
      <family val="2"/>
    </font>
    <font>
      <sz val="11"/>
      <name val="Calibri"/>
      <family val="2"/>
    </font>
    <font>
      <i/>
      <sz val="10"/>
      <color indexed="40"/>
      <name val="Arial"/>
      <family val="2"/>
    </font>
    <font>
      <b/>
      <sz val="8"/>
      <name val="Arial"/>
      <family val="2"/>
    </font>
    <font>
      <i/>
      <sz val="10"/>
      <color indexed="15"/>
      <name val="Arial"/>
      <family val="2"/>
    </font>
    <font>
      <sz val="12"/>
      <name val="Arial"/>
      <family val="2"/>
    </font>
    <font>
      <b/>
      <sz val="8"/>
      <color indexed="10"/>
      <name val="Arial CE"/>
      <family val="2"/>
    </font>
    <font>
      <sz val="8"/>
      <color rgb="FFFF0000"/>
      <name val="Arial"/>
      <family val="2"/>
    </font>
    <font>
      <b/>
      <sz val="8"/>
      <color rgb="FFFF0000"/>
      <name val="Arial"/>
      <family val="2"/>
    </font>
    <font>
      <sz val="10"/>
      <color rgb="FFFF0000"/>
      <name val="Arial"/>
      <family val="2"/>
    </font>
    <font>
      <sz val="10"/>
      <color theme="1"/>
      <name val="Arial CE"/>
      <family val="2"/>
    </font>
    <font>
      <sz val="10"/>
      <color rgb="FFFF0000"/>
      <name val="Arial CE"/>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6" tint="0.7999799847602844"/>
        <bgColor indexed="64"/>
      </patternFill>
    </fill>
    <fill>
      <patternFill patternType="solid">
        <fgColor indexed="26"/>
        <bgColor indexed="64"/>
      </patternFill>
    </fill>
    <fill>
      <patternFill patternType="solid">
        <fgColor indexed="44"/>
        <bgColor indexed="64"/>
      </patternFill>
    </fill>
    <fill>
      <patternFill patternType="solid">
        <fgColor theme="0"/>
        <bgColor indexed="64"/>
      </patternFill>
    </fill>
    <fill>
      <patternFill patternType="solid">
        <fgColor indexed="22"/>
        <bgColor indexed="64"/>
      </patternFill>
    </fill>
  </fills>
  <borders count="29">
    <border>
      <left/>
      <right/>
      <top/>
      <bottom/>
      <diagonal/>
    </border>
    <border>
      <left/>
      <right/>
      <top style="thin">
        <color indexed="49"/>
      </top>
      <bottom style="double">
        <color indexed="49"/>
      </bottom>
    </border>
    <border>
      <left/>
      <right/>
      <top/>
      <bottom style="hair"/>
    </border>
    <border>
      <left/>
      <right/>
      <top/>
      <bottom style="thin"/>
    </border>
    <border>
      <left style="hair">
        <color indexed="8"/>
      </left>
      <right style="hair">
        <color indexed="8"/>
      </right>
      <top style="hair">
        <color indexed="8"/>
      </top>
      <bottom style="hair">
        <color indexed="8"/>
      </bottom>
    </border>
    <border>
      <left style="hair">
        <color indexed="8"/>
      </left>
      <right style="hair">
        <color indexed="8"/>
      </right>
      <top/>
      <bottom/>
    </border>
    <border>
      <left style="thin"/>
      <right/>
      <top style="thin">
        <color indexed="8"/>
      </top>
      <bottom style="thin"/>
    </border>
    <border>
      <left/>
      <right/>
      <top style="thin">
        <color indexed="8"/>
      </top>
      <bottom style="thin"/>
    </border>
    <border>
      <left style="thin"/>
      <right style="thin"/>
      <top style="thin"/>
      <bottom style="thin"/>
    </border>
    <border>
      <left style="thin"/>
      <right style="thin"/>
      <top style="thin"/>
      <bottom/>
    </border>
    <border>
      <left style="medium"/>
      <right style="thin"/>
      <top style="medium"/>
      <bottom style="medium"/>
    </border>
    <border>
      <left style="thin"/>
      <right style="thin"/>
      <top style="medium"/>
      <bottom style="medium"/>
    </border>
    <border>
      <left/>
      <right style="medium"/>
      <top style="medium"/>
      <bottom style="medium"/>
    </border>
    <border>
      <left style="thin"/>
      <right style="thin"/>
      <top/>
      <bottom style="thin"/>
    </border>
    <border>
      <left/>
      <right/>
      <top/>
      <bottom style="medium"/>
    </border>
    <border>
      <left/>
      <right/>
      <top style="hair"/>
      <bottom style="hair"/>
    </border>
    <border>
      <left/>
      <right/>
      <top style="hair"/>
      <bottom/>
    </border>
    <border>
      <left style="medium"/>
      <right/>
      <top style="medium"/>
      <bottom style="medium"/>
    </border>
    <border>
      <left/>
      <right/>
      <top style="medium"/>
      <bottom style="medium"/>
    </border>
    <border>
      <left/>
      <right/>
      <top/>
      <bottom style="hair">
        <color indexed="8"/>
      </bottom>
    </border>
    <border>
      <left/>
      <right/>
      <top style="medium"/>
      <bottom style="hair"/>
    </border>
    <border>
      <left/>
      <right style="thin"/>
      <top style="thin">
        <color indexed="8"/>
      </top>
      <bottom style="thin"/>
    </border>
    <border>
      <left style="thin"/>
      <right/>
      <top style="thin">
        <color indexed="8"/>
      </top>
      <bottom style="thin">
        <color indexed="8"/>
      </bottom>
    </border>
    <border>
      <left/>
      <right/>
      <top style="thin">
        <color indexed="8"/>
      </top>
      <bottom style="thin">
        <color indexed="8"/>
      </bottom>
    </border>
    <border>
      <left/>
      <right style="thin"/>
      <top style="thin">
        <color indexed="8"/>
      </top>
      <bottom style="thin">
        <color indexed="8"/>
      </bottom>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hair"/>
      <bottom style="medium"/>
    </border>
  </borders>
  <cellStyleXfs count="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4" fillId="0" borderId="1" applyNumberFormat="0" applyFill="0" applyAlignment="0" applyProtection="0"/>
    <xf numFmtId="0" fontId="14" fillId="0" borderId="0" applyNumberFormat="0" applyFill="0" applyBorder="0" applyAlignment="0" applyProtection="0"/>
    <xf numFmtId="0" fontId="5" fillId="10" borderId="0" applyNumberFormat="0" applyBorder="0" applyAlignment="0" applyProtection="0"/>
    <xf numFmtId="44" fontId="1" fillId="0" borderId="0" applyFill="0" applyBorder="0" applyAlignment="0" applyProtection="0"/>
    <xf numFmtId="0" fontId="6" fillId="0" borderId="0" applyNumberFormat="0" applyFill="0" applyBorder="0" applyAlignment="0" applyProtection="0"/>
    <xf numFmtId="0" fontId="1" fillId="0" borderId="0">
      <alignment/>
      <protection/>
    </xf>
    <xf numFmtId="0" fontId="0" fillId="0" borderId="0">
      <alignment/>
      <protection/>
    </xf>
    <xf numFmtId="9" fontId="0" fillId="0" borderId="0" applyFill="0" applyBorder="0" applyAlignment="0" applyProtection="0"/>
    <xf numFmtId="9"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cellStyleXfs>
  <cellXfs count="345">
    <xf numFmtId="0" fontId="0" fillId="0" borderId="0" xfId="0"/>
    <xf numFmtId="0" fontId="23" fillId="0" borderId="0" xfId="0" applyFont="1"/>
    <xf numFmtId="0" fontId="0" fillId="0" borderId="0" xfId="0" applyAlignment="1">
      <alignment horizontal="center"/>
    </xf>
    <xf numFmtId="170" fontId="1" fillId="0" borderId="2" xfId="0" applyNumberFormat="1" applyFont="1" applyFill="1" applyBorder="1" applyAlignment="1" applyProtection="1">
      <alignment horizontal="right" vertical="center"/>
      <protection hidden="1"/>
    </xf>
    <xf numFmtId="170" fontId="24" fillId="0" borderId="2" xfId="0" applyNumberFormat="1" applyFont="1" applyFill="1" applyBorder="1" applyAlignment="1" applyProtection="1">
      <alignment horizontal="right" vertical="center"/>
      <protection hidden="1"/>
    </xf>
    <xf numFmtId="2" fontId="1" fillId="0" borderId="2" xfId="0" applyNumberFormat="1" applyFont="1" applyBorder="1" applyAlignment="1" applyProtection="1">
      <alignment horizontal="right" vertical="center"/>
      <protection hidden="1"/>
    </xf>
    <xf numFmtId="2" fontId="24" fillId="0" borderId="2" xfId="0" applyNumberFormat="1" applyFont="1" applyBorder="1" applyAlignment="1" applyProtection="1">
      <alignment horizontal="right" vertical="center"/>
      <protection hidden="1"/>
    </xf>
    <xf numFmtId="170" fontId="1" fillId="0" borderId="2" xfId="0" applyNumberFormat="1" applyFont="1" applyBorder="1" applyAlignment="1" applyProtection="1">
      <alignment horizontal="right" vertical="center"/>
      <protection hidden="1"/>
    </xf>
    <xf numFmtId="0" fontId="22" fillId="0" borderId="0" xfId="0" applyFont="1" applyProtection="1">
      <protection locked="0"/>
    </xf>
    <xf numFmtId="0" fontId="23" fillId="0" borderId="0" xfId="0" applyFont="1" applyAlignment="1">
      <alignment horizontal="center"/>
    </xf>
    <xf numFmtId="0" fontId="22" fillId="0" borderId="0" xfId="0" applyFont="1"/>
    <xf numFmtId="0" fontId="22" fillId="0" borderId="3" xfId="0" applyFont="1" applyBorder="1"/>
    <xf numFmtId="0" fontId="43" fillId="0" borderId="0" xfId="0" applyFont="1"/>
    <xf numFmtId="4" fontId="23" fillId="0" borderId="0" xfId="0" applyNumberFormat="1" applyFont="1"/>
    <xf numFmtId="0" fontId="8" fillId="0" borderId="0" xfId="0" applyFont="1"/>
    <xf numFmtId="4" fontId="43" fillId="0" borderId="0" xfId="0" applyNumberFormat="1" applyFont="1"/>
    <xf numFmtId="0" fontId="23" fillId="0" borderId="0" xfId="0" applyFont="1" applyAlignment="1">
      <alignment horizontal="left"/>
    </xf>
    <xf numFmtId="0" fontId="23" fillId="0" borderId="0" xfId="0" applyFont="1" applyAlignment="1">
      <alignment wrapText="1"/>
    </xf>
    <xf numFmtId="0" fontId="47" fillId="0" borderId="0" xfId="0" applyFont="1"/>
    <xf numFmtId="0" fontId="47" fillId="0" borderId="0" xfId="0" applyFont="1" applyAlignment="1">
      <alignment horizontal="center"/>
    </xf>
    <xf numFmtId="9" fontId="43" fillId="0" borderId="0" xfId="46" applyFont="1"/>
    <xf numFmtId="0" fontId="48" fillId="0" borderId="0" xfId="0" applyFont="1"/>
    <xf numFmtId="9" fontId="48" fillId="0" borderId="0" xfId="46" applyFont="1"/>
    <xf numFmtId="4" fontId="48" fillId="0" borderId="0" xfId="0" applyNumberFormat="1" applyFont="1"/>
    <xf numFmtId="9" fontId="23" fillId="0" borderId="0" xfId="46" applyFont="1"/>
    <xf numFmtId="0" fontId="0" fillId="0" borderId="0" xfId="0" applyAlignment="1">
      <alignment horizontal="left" vertical="center" wrapText="1"/>
    </xf>
    <xf numFmtId="3" fontId="0" fillId="0" borderId="0" xfId="0" applyNumberFormat="1" applyAlignment="1">
      <alignment horizontal="left" vertical="center"/>
    </xf>
    <xf numFmtId="0" fontId="0" fillId="0" borderId="0" xfId="0" applyFont="1" applyBorder="1" applyProtection="1">
      <protection hidden="1"/>
    </xf>
    <xf numFmtId="0" fontId="31" fillId="0" borderId="0" xfId="0" applyFont="1" applyFill="1" applyBorder="1" applyAlignment="1" applyProtection="1">
      <alignment horizontal="left"/>
      <protection hidden="1"/>
    </xf>
    <xf numFmtId="0" fontId="0" fillId="0" borderId="0" xfId="0" applyFont="1" applyFill="1" applyBorder="1" applyAlignment="1" applyProtection="1">
      <alignment horizontal="center"/>
      <protection hidden="1"/>
    </xf>
    <xf numFmtId="0" fontId="0" fillId="11" borderId="0" xfId="0" applyFont="1" applyFill="1" applyAlignment="1" applyProtection="1">
      <alignment vertical="center"/>
      <protection hidden="1"/>
    </xf>
    <xf numFmtId="0" fontId="0" fillId="0" borderId="0" xfId="0" applyFont="1" applyProtection="1">
      <protection hidden="1"/>
    </xf>
    <xf numFmtId="0" fontId="8" fillId="0" borderId="4" xfId="0" applyFont="1" applyBorder="1" applyAlignment="1" applyProtection="1">
      <alignment horizontal="right" wrapText="1"/>
      <protection hidden="1"/>
    </xf>
    <xf numFmtId="0" fontId="8" fillId="0" borderId="5" xfId="0" applyFont="1" applyBorder="1" applyAlignment="1" applyProtection="1">
      <alignment horizontal="right"/>
      <protection hidden="1"/>
    </xf>
    <xf numFmtId="170" fontId="0" fillId="0" borderId="0" xfId="0" applyNumberFormat="1" applyFont="1" applyProtection="1">
      <protection hidden="1"/>
    </xf>
    <xf numFmtId="167" fontId="0" fillId="0" borderId="0" xfId="0" applyNumberFormat="1" applyFont="1" applyProtection="1">
      <protection hidden="1"/>
    </xf>
    <xf numFmtId="0" fontId="27" fillId="0" borderId="0" xfId="0" applyFont="1" applyAlignment="1" applyProtection="1">
      <alignment horizontal="center" vertical="center"/>
      <protection hidden="1"/>
    </xf>
    <xf numFmtId="0" fontId="31" fillId="0" borderId="0" xfId="0" applyFont="1" applyProtection="1">
      <protection hidden="1"/>
    </xf>
    <xf numFmtId="0" fontId="0" fillId="0" borderId="0" xfId="0" applyFont="1" applyProtection="1">
      <protection hidden="1"/>
    </xf>
    <xf numFmtId="0" fontId="9" fillId="0" borderId="0" xfId="0" applyFont="1" applyProtection="1">
      <protection hidden="1"/>
    </xf>
    <xf numFmtId="0" fontId="0" fillId="0" borderId="0" xfId="0" applyFont="1" applyAlignment="1" applyProtection="1">
      <alignment vertical="center"/>
      <protection hidden="1"/>
    </xf>
    <xf numFmtId="0" fontId="12" fillId="0" borderId="6" xfId="0" applyFont="1" applyBorder="1" applyAlignment="1" applyProtection="1">
      <alignment vertical="center"/>
      <protection hidden="1"/>
    </xf>
    <xf numFmtId="0" fontId="0" fillId="0" borderId="7" xfId="0" applyFont="1" applyBorder="1" applyProtection="1">
      <protection hidden="1"/>
    </xf>
    <xf numFmtId="170" fontId="0" fillId="0" borderId="7" xfId="0" applyNumberFormat="1" applyFont="1" applyBorder="1" applyProtection="1">
      <protection hidden="1"/>
    </xf>
    <xf numFmtId="167" fontId="0" fillId="0" borderId="7" xfId="0" applyNumberFormat="1" applyFont="1" applyBorder="1" applyProtection="1">
      <protection hidden="1"/>
    </xf>
    <xf numFmtId="0" fontId="9" fillId="0" borderId="0" xfId="0" applyFont="1" applyProtection="1">
      <protection hidden="1"/>
    </xf>
    <xf numFmtId="0" fontId="9" fillId="0" borderId="0" xfId="0" applyFont="1" applyBorder="1" applyProtection="1">
      <protection hidden="1"/>
    </xf>
    <xf numFmtId="0" fontId="32" fillId="0" borderId="0" xfId="0" applyFont="1" applyFill="1" applyBorder="1" applyAlignment="1" applyProtection="1">
      <alignment horizontal="left"/>
      <protection hidden="1"/>
    </xf>
    <xf numFmtId="0" fontId="0" fillId="0" borderId="0" xfId="44" applyNumberFormat="1" applyFont="1" applyFill="1" applyBorder="1" applyAlignment="1" applyProtection="1">
      <alignment horizontal="left" vertical="center"/>
      <protection hidden="1"/>
    </xf>
    <xf numFmtId="0" fontId="14" fillId="12" borderId="2" xfId="39" applyNumberFormat="1" applyFill="1" applyBorder="1" applyAlignment="1" applyProtection="1">
      <alignment horizontal="left" vertical="center"/>
      <protection hidden="1"/>
    </xf>
    <xf numFmtId="0" fontId="9" fillId="12" borderId="2" xfId="0" applyFont="1" applyFill="1" applyBorder="1" applyProtection="1">
      <protection hidden="1"/>
    </xf>
    <xf numFmtId="170" fontId="9" fillId="0" borderId="2" xfId="0" applyNumberFormat="1" applyFont="1" applyBorder="1" applyProtection="1">
      <protection hidden="1"/>
    </xf>
    <xf numFmtId="176" fontId="9" fillId="0" borderId="2" xfId="0" applyNumberFormat="1" applyFont="1" applyBorder="1" applyProtection="1">
      <protection hidden="1"/>
    </xf>
    <xf numFmtId="0" fontId="28" fillId="0" borderId="0" xfId="0" applyFont="1" applyAlignment="1" applyProtection="1">
      <alignment horizontal="center" vertical="center"/>
      <protection hidden="1"/>
    </xf>
    <xf numFmtId="183" fontId="1" fillId="0" borderId="0" xfId="41" applyNumberFormat="1" applyProtection="1">
      <protection hidden="1"/>
    </xf>
    <xf numFmtId="183" fontId="0" fillId="0" borderId="0" xfId="0" applyNumberFormat="1" applyFont="1" applyProtection="1">
      <protection hidden="1"/>
    </xf>
    <xf numFmtId="176" fontId="9" fillId="0" borderId="0" xfId="0" applyNumberFormat="1" applyFont="1" applyProtection="1">
      <protection hidden="1"/>
    </xf>
    <xf numFmtId="0" fontId="0" fillId="0" borderId="0" xfId="44" applyNumberFormat="1" applyFont="1" applyFill="1" applyBorder="1" applyAlignment="1" applyProtection="1">
      <alignment horizontal="left" vertical="center" indent="1"/>
      <protection hidden="1"/>
    </xf>
    <xf numFmtId="0" fontId="0" fillId="0" borderId="0" xfId="44" applyFont="1" applyFill="1" applyAlignment="1" applyProtection="1">
      <alignment horizontal="left" vertical="center" indent="1"/>
      <protection hidden="1"/>
    </xf>
    <xf numFmtId="0" fontId="14" fillId="12" borderId="2" xfId="39" applyNumberFormat="1" applyFont="1" applyFill="1" applyBorder="1" applyAlignment="1" applyProtection="1">
      <alignment horizontal="left" vertical="center"/>
      <protection hidden="1"/>
    </xf>
    <xf numFmtId="0" fontId="0" fillId="0" borderId="0" xfId="44" applyNumberFormat="1" applyFont="1" applyFill="1" applyBorder="1" applyAlignment="1" applyProtection="1">
      <alignment horizontal="left" vertical="center" indent="1"/>
      <protection hidden="1"/>
    </xf>
    <xf numFmtId="0" fontId="28" fillId="0" borderId="0" xfId="0" applyFont="1" applyFill="1" applyAlignment="1" applyProtection="1">
      <alignment horizontal="center" vertical="center"/>
      <protection hidden="1"/>
    </xf>
    <xf numFmtId="0" fontId="31" fillId="0" borderId="0" xfId="44" applyNumberFormat="1" applyFont="1" applyFill="1" applyBorder="1" applyAlignment="1" applyProtection="1">
      <alignment horizontal="left" vertical="center"/>
      <protection hidden="1"/>
    </xf>
    <xf numFmtId="0" fontId="0" fillId="0" borderId="0" xfId="0" applyFont="1" applyBorder="1" applyAlignment="1" applyProtection="1">
      <alignment vertical="center"/>
      <protection hidden="1"/>
    </xf>
    <xf numFmtId="170" fontId="0" fillId="0" borderId="0" xfId="0" applyNumberFormat="1" applyFont="1" applyBorder="1" applyProtection="1">
      <protection hidden="1"/>
    </xf>
    <xf numFmtId="176" fontId="0" fillId="0" borderId="0" xfId="0" applyNumberFormat="1" applyFont="1" applyBorder="1" applyProtection="1">
      <protection hidden="1"/>
    </xf>
    <xf numFmtId="0" fontId="15" fillId="0" borderId="8" xfId="0" applyFont="1" applyBorder="1" applyAlignment="1" applyProtection="1">
      <alignment vertical="center"/>
      <protection hidden="1"/>
    </xf>
    <xf numFmtId="0" fontId="0" fillId="0" borderId="8" xfId="0" applyFont="1" applyBorder="1" applyProtection="1">
      <protection hidden="1"/>
    </xf>
    <xf numFmtId="170" fontId="16" fillId="0" borderId="8" xfId="0" applyNumberFormat="1" applyFont="1" applyBorder="1" applyAlignment="1" applyProtection="1">
      <alignment/>
      <protection hidden="1"/>
    </xf>
    <xf numFmtId="183" fontId="0" fillId="0" borderId="0" xfId="0" applyNumberFormat="1" applyFont="1" applyProtection="1">
      <protection hidden="1"/>
    </xf>
    <xf numFmtId="0" fontId="0" fillId="0" borderId="8" xfId="0" applyFont="1" applyBorder="1" applyAlignment="1" applyProtection="1">
      <alignment vertical="center"/>
      <protection hidden="1"/>
    </xf>
    <xf numFmtId="170" fontId="0" fillId="0" borderId="8" xfId="0" applyNumberFormat="1" applyFont="1" applyBorder="1" applyProtection="1">
      <protection hidden="1"/>
    </xf>
    <xf numFmtId="167" fontId="0" fillId="0" borderId="8" xfId="0" applyNumberFormat="1" applyFont="1" applyBorder="1" applyProtection="1">
      <protection hidden="1"/>
    </xf>
    <xf numFmtId="3" fontId="9" fillId="0" borderId="8" xfId="0" applyNumberFormat="1" applyFont="1" applyBorder="1" applyProtection="1">
      <protection hidden="1"/>
    </xf>
    <xf numFmtId="0" fontId="0" fillId="0" borderId="0" xfId="0" applyFont="1" applyFill="1" applyProtection="1">
      <protection hidden="1"/>
    </xf>
    <xf numFmtId="3" fontId="0" fillId="0" borderId="8" xfId="0" applyNumberFormat="1" applyFont="1" applyBorder="1" applyAlignment="1" applyProtection="1">
      <alignment horizontal="right"/>
      <protection hidden="1"/>
    </xf>
    <xf numFmtId="176" fontId="9" fillId="0" borderId="8" xfId="0" applyNumberFormat="1" applyFont="1" applyBorder="1" applyProtection="1">
      <protection hidden="1"/>
    </xf>
    <xf numFmtId="0" fontId="0" fillId="0" borderId="9" xfId="0" applyFont="1" applyBorder="1" applyAlignment="1" applyProtection="1">
      <alignment vertical="center"/>
      <protection hidden="1"/>
    </xf>
    <xf numFmtId="0" fontId="0" fillId="0" borderId="9" xfId="0" applyFont="1" applyBorder="1" applyProtection="1">
      <protection hidden="1"/>
    </xf>
    <xf numFmtId="170" fontId="0" fillId="0" borderId="9" xfId="0" applyNumberFormat="1" applyFont="1" applyBorder="1" applyProtection="1">
      <protection hidden="1"/>
    </xf>
    <xf numFmtId="10" fontId="0" fillId="0" borderId="9" xfId="45" applyNumberFormat="1" applyFill="1" applyBorder="1" applyAlignment="1" applyProtection="1">
      <alignment vertical="center"/>
      <protection hidden="1"/>
    </xf>
    <xf numFmtId="0" fontId="15" fillId="0" borderId="10" xfId="0" applyFont="1" applyBorder="1" applyAlignment="1" applyProtection="1">
      <alignment vertical="center"/>
      <protection hidden="1"/>
    </xf>
    <xf numFmtId="0" fontId="0" fillId="0" borderId="11" xfId="0" applyFont="1" applyBorder="1" applyProtection="1">
      <protection hidden="1"/>
    </xf>
    <xf numFmtId="170" fontId="0" fillId="0" borderId="11" xfId="0" applyNumberFormat="1" applyFont="1" applyBorder="1" applyProtection="1">
      <protection hidden="1"/>
    </xf>
    <xf numFmtId="167" fontId="0" fillId="0" borderId="11" xfId="0" applyNumberFormat="1" applyFont="1" applyBorder="1" applyProtection="1">
      <protection hidden="1"/>
    </xf>
    <xf numFmtId="176" fontId="9" fillId="0" borderId="12" xfId="0" applyNumberFormat="1" applyFont="1" applyBorder="1" applyProtection="1">
      <protection hidden="1"/>
    </xf>
    <xf numFmtId="0" fontId="0" fillId="0" borderId="13" xfId="0" applyFont="1" applyBorder="1" applyAlignment="1" applyProtection="1">
      <alignment vertical="center"/>
      <protection hidden="1"/>
    </xf>
    <xf numFmtId="0" fontId="0" fillId="0" borderId="13" xfId="0" applyFont="1" applyBorder="1" applyProtection="1">
      <protection hidden="1"/>
    </xf>
    <xf numFmtId="170" fontId="0" fillId="0" borderId="13" xfId="0" applyNumberFormat="1" applyFont="1" applyBorder="1" applyProtection="1">
      <protection hidden="1"/>
    </xf>
    <xf numFmtId="167" fontId="0" fillId="0" borderId="13" xfId="0" applyNumberFormat="1" applyFont="1" applyBorder="1" applyProtection="1">
      <protection hidden="1"/>
    </xf>
    <xf numFmtId="0" fontId="27" fillId="0" borderId="0" xfId="0" applyFont="1" applyFill="1" applyAlignment="1" applyProtection="1">
      <alignment horizontal="center" vertical="center"/>
      <protection hidden="1"/>
    </xf>
    <xf numFmtId="9" fontId="0" fillId="0" borderId="8" xfId="45" applyFill="1" applyBorder="1" applyAlignment="1" applyProtection="1">
      <alignment/>
      <protection hidden="1"/>
    </xf>
    <xf numFmtId="176" fontId="0" fillId="0" borderId="8" xfId="0" applyNumberFormat="1" applyFont="1" applyBorder="1" applyProtection="1">
      <protection hidden="1"/>
    </xf>
    <xf numFmtId="0" fontId="0" fillId="0" borderId="14" xfId="0" applyFont="1" applyBorder="1" applyAlignment="1" applyProtection="1">
      <alignment vertical="center"/>
      <protection hidden="1"/>
    </xf>
    <xf numFmtId="0" fontId="0" fillId="0" borderId="14" xfId="0" applyFont="1" applyBorder="1" applyProtection="1">
      <protection hidden="1"/>
    </xf>
    <xf numFmtId="170" fontId="0" fillId="0" borderId="14" xfId="0" applyNumberFormat="1" applyFont="1" applyBorder="1" applyProtection="1">
      <protection hidden="1"/>
    </xf>
    <xf numFmtId="167" fontId="0" fillId="0" borderId="14" xfId="0" applyNumberFormat="1" applyFont="1" applyBorder="1" applyProtection="1">
      <protection hidden="1"/>
    </xf>
    <xf numFmtId="0" fontId="16" fillId="0" borderId="14" xfId="0" applyFont="1" applyBorder="1" applyAlignment="1" applyProtection="1">
      <alignment vertical="center"/>
      <protection hidden="1"/>
    </xf>
    <xf numFmtId="0" fontId="25" fillId="0" borderId="0" xfId="0" applyFont="1" applyFill="1" applyBorder="1" applyAlignment="1" applyProtection="1">
      <alignment horizontal="left"/>
      <protection hidden="1"/>
    </xf>
    <xf numFmtId="0" fontId="0" fillId="0" borderId="0" xfId="0" applyProtection="1">
      <protection hidden="1"/>
    </xf>
    <xf numFmtId="170" fontId="0" fillId="0" borderId="0" xfId="0" applyNumberFormat="1" applyProtection="1">
      <protection hidden="1"/>
    </xf>
    <xf numFmtId="0" fontId="26" fillId="0" borderId="0" xfId="0" applyFont="1" applyFill="1" applyBorder="1" applyAlignment="1" applyProtection="1">
      <alignment horizontal="left"/>
      <protection hidden="1"/>
    </xf>
    <xf numFmtId="182" fontId="26" fillId="0" borderId="0" xfId="0" applyNumberFormat="1" applyFont="1" applyAlignment="1" applyProtection="1">
      <alignment/>
      <protection hidden="1"/>
    </xf>
    <xf numFmtId="183" fontId="9" fillId="0" borderId="0" xfId="0" applyNumberFormat="1" applyFont="1" applyProtection="1">
      <protection hidden="1"/>
    </xf>
    <xf numFmtId="9" fontId="27" fillId="0" borderId="0" xfId="0" applyNumberFormat="1" applyFont="1" applyAlignment="1" applyProtection="1">
      <alignment horizontal="center" vertical="center"/>
      <protection hidden="1"/>
    </xf>
    <xf numFmtId="176" fontId="9" fillId="0" borderId="0" xfId="0" applyNumberFormat="1" applyFont="1" applyProtection="1">
      <protection hidden="1"/>
    </xf>
    <xf numFmtId="0" fontId="17" fillId="0" borderId="0" xfId="0" applyFont="1" applyFill="1" applyBorder="1" applyAlignment="1" applyProtection="1">
      <alignment vertical="center"/>
      <protection hidden="1"/>
    </xf>
    <xf numFmtId="167" fontId="0" fillId="0" borderId="0" xfId="0" applyNumberFormat="1" applyFont="1" applyBorder="1" applyProtection="1">
      <protection hidden="1"/>
    </xf>
    <xf numFmtId="0" fontId="9" fillId="0" borderId="0" xfId="0" applyFont="1" applyAlignment="1" applyProtection="1">
      <alignment vertical="center"/>
      <protection hidden="1"/>
    </xf>
    <xf numFmtId="3" fontId="0" fillId="2" borderId="0" xfId="0" applyNumberFormat="1" applyFont="1" applyFill="1" applyBorder="1" applyAlignment="1" applyProtection="1">
      <alignment vertical="center"/>
      <protection hidden="1"/>
    </xf>
    <xf numFmtId="4" fontId="0" fillId="0" borderId="0" xfId="44" applyNumberFormat="1" applyFont="1" applyFill="1" applyBorder="1" applyProtection="1">
      <alignment/>
      <protection hidden="1"/>
    </xf>
    <xf numFmtId="170" fontId="0" fillId="0" borderId="0" xfId="44" applyNumberFormat="1" applyFont="1" applyFill="1" applyBorder="1" applyProtection="1">
      <alignment/>
      <protection hidden="1"/>
    </xf>
    <xf numFmtId="167" fontId="0" fillId="0" borderId="0" xfId="44" applyNumberFormat="1" applyFont="1" applyFill="1" applyBorder="1" applyProtection="1">
      <alignment/>
      <protection hidden="1"/>
    </xf>
    <xf numFmtId="167" fontId="0" fillId="0" borderId="0" xfId="0" applyNumberFormat="1" applyFont="1" applyFill="1" applyBorder="1" applyAlignment="1" applyProtection="1">
      <alignment horizontal="left" vertical="top" wrapText="1"/>
      <protection hidden="1"/>
    </xf>
    <xf numFmtId="0" fontId="18" fillId="0" borderId="0" xfId="0" applyFont="1" applyBorder="1" applyProtection="1">
      <protection hidden="1"/>
    </xf>
    <xf numFmtId="0" fontId="33" fillId="0" borderId="0" xfId="0" applyFont="1" applyFill="1" applyBorder="1" applyAlignment="1" applyProtection="1">
      <alignment horizontal="left"/>
      <protection hidden="1"/>
    </xf>
    <xf numFmtId="0" fontId="18" fillId="0" borderId="0" xfId="0" applyFont="1" applyFill="1" applyBorder="1" applyAlignment="1" applyProtection="1">
      <alignment horizontal="center"/>
      <protection hidden="1"/>
    </xf>
    <xf numFmtId="0" fontId="18" fillId="0" borderId="0" xfId="0" applyFont="1" applyAlignment="1" applyProtection="1">
      <alignment vertical="center"/>
      <protection hidden="1"/>
    </xf>
    <xf numFmtId="0" fontId="18" fillId="0" borderId="0" xfId="0" applyFont="1" applyProtection="1">
      <protection hidden="1"/>
    </xf>
    <xf numFmtId="170" fontId="18" fillId="0" borderId="0" xfId="0" applyNumberFormat="1" applyFont="1" applyProtection="1">
      <protection hidden="1"/>
    </xf>
    <xf numFmtId="167" fontId="18" fillId="0" borderId="0" xfId="0" applyNumberFormat="1" applyFont="1" applyProtection="1">
      <protection hidden="1"/>
    </xf>
    <xf numFmtId="0" fontId="29" fillId="0" borderId="0" xfId="0" applyFont="1" applyAlignment="1" applyProtection="1">
      <alignment horizontal="center" vertical="center"/>
      <protection hidden="1"/>
    </xf>
    <xf numFmtId="0" fontId="18" fillId="0" borderId="0" xfId="0" applyFont="1" applyFill="1" applyProtection="1">
      <protection hidden="1"/>
    </xf>
    <xf numFmtId="170" fontId="0" fillId="0" borderId="0" xfId="0" applyNumberFormat="1" applyFont="1" applyFill="1" applyBorder="1" applyAlignment="1" applyProtection="1">
      <alignment horizontal="left" vertical="top" wrapText="1"/>
      <protection hidden="1"/>
    </xf>
    <xf numFmtId="0" fontId="0" fillId="0" borderId="0" xfId="0" applyFont="1" applyFill="1" applyBorder="1" applyProtection="1">
      <protection hidden="1"/>
    </xf>
    <xf numFmtId="170" fontId="0" fillId="0" borderId="0" xfId="0" applyNumberFormat="1" applyFont="1" applyFill="1" applyBorder="1" applyProtection="1">
      <protection hidden="1"/>
    </xf>
    <xf numFmtId="4" fontId="0" fillId="0" borderId="0" xfId="0" applyNumberFormat="1" applyFont="1" applyFill="1" applyBorder="1" applyProtection="1">
      <protection hidden="1"/>
    </xf>
    <xf numFmtId="0" fontId="0" fillId="0" borderId="0" xfId="44" applyFont="1" applyFill="1" applyBorder="1" applyAlignment="1" applyProtection="1">
      <alignment vertical="center"/>
      <protection hidden="1"/>
    </xf>
    <xf numFmtId="0" fontId="31" fillId="0" borderId="0" xfId="44" applyFont="1" applyFill="1" applyBorder="1" applyAlignment="1" applyProtection="1">
      <alignment horizontal="left" vertical="center"/>
      <protection hidden="1"/>
    </xf>
    <xf numFmtId="49" fontId="19" fillId="0" borderId="0" xfId="0" applyNumberFormat="1" applyFont="1" applyFill="1" applyBorder="1" applyAlignment="1" applyProtection="1">
      <alignment horizontal="center" vertical="center"/>
      <protection hidden="1"/>
    </xf>
    <xf numFmtId="3" fontId="21" fillId="0" borderId="0" xfId="0" applyNumberFormat="1" applyFont="1" applyFill="1" applyBorder="1" applyAlignment="1" applyProtection="1">
      <alignment horizontal="left" vertical="center" wrapText="1"/>
      <protection hidden="1"/>
    </xf>
    <xf numFmtId="3" fontId="1" fillId="0" borderId="0" xfId="0" applyNumberFormat="1" applyFont="1" applyFill="1" applyBorder="1" applyAlignment="1" applyProtection="1">
      <alignment horizontal="left" vertical="center" wrapText="1"/>
      <protection hidden="1"/>
    </xf>
    <xf numFmtId="3" fontId="1" fillId="0" borderId="15" xfId="0" applyNumberFormat="1" applyFont="1" applyFill="1" applyBorder="1" applyAlignment="1" applyProtection="1">
      <alignment horizontal="left" vertical="center" wrapText="1"/>
      <protection hidden="1"/>
    </xf>
    <xf numFmtId="3" fontId="1" fillId="0" borderId="16" xfId="0" applyNumberFormat="1" applyFont="1" applyFill="1" applyBorder="1" applyAlignment="1" applyProtection="1">
      <alignment horizontal="left" vertical="center" wrapText="1"/>
      <protection hidden="1"/>
    </xf>
    <xf numFmtId="0" fontId="0" fillId="0" borderId="0" xfId="0" applyAlignment="1" applyProtection="1">
      <alignment horizontal="left"/>
      <protection hidden="1"/>
    </xf>
    <xf numFmtId="0" fontId="0" fillId="0" borderId="0" xfId="0" applyAlignment="1" applyProtection="1">
      <alignment horizontal="center"/>
      <protection hidden="1"/>
    </xf>
    <xf numFmtId="0" fontId="12" fillId="0" borderId="0" xfId="0" applyFont="1" applyBorder="1" applyAlignment="1" applyProtection="1">
      <alignment vertical="center"/>
      <protection hidden="1"/>
    </xf>
    <xf numFmtId="0" fontId="0" fillId="0" borderId="0" xfId="0" applyBorder="1" applyProtection="1">
      <protection hidden="1"/>
    </xf>
    <xf numFmtId="2" fontId="0" fillId="0" borderId="0" xfId="0" applyNumberFormat="1" applyBorder="1" applyProtection="1">
      <protection hidden="1"/>
    </xf>
    <xf numFmtId="167" fontId="0" fillId="0" borderId="0" xfId="0" applyNumberFormat="1" applyBorder="1" applyProtection="1">
      <protection hidden="1"/>
    </xf>
    <xf numFmtId="0" fontId="13" fillId="0" borderId="0" xfId="0" applyFont="1" applyBorder="1" applyAlignment="1" applyProtection="1">
      <alignment horizontal="right"/>
      <protection hidden="1"/>
    </xf>
    <xf numFmtId="0" fontId="15" fillId="0" borderId="0" xfId="0" applyFont="1" applyAlignment="1" applyProtection="1">
      <alignment horizontal="center" vertical="center"/>
      <protection hidden="1"/>
    </xf>
    <xf numFmtId="0" fontId="14" fillId="13" borderId="15" xfId="39" applyNumberFormat="1" applyFill="1" applyBorder="1" applyAlignment="1" applyProtection="1">
      <alignment vertical="center"/>
      <protection hidden="1"/>
    </xf>
    <xf numFmtId="0" fontId="9" fillId="14" borderId="15" xfId="0" applyFont="1" applyFill="1" applyBorder="1" applyAlignment="1" applyProtection="1">
      <alignment horizontal="left"/>
      <protection hidden="1"/>
    </xf>
    <xf numFmtId="2" fontId="9" fillId="14" borderId="15" xfId="0" applyNumberFormat="1" applyFont="1" applyFill="1" applyBorder="1" applyAlignment="1" applyProtection="1">
      <alignment horizontal="right"/>
      <protection hidden="1"/>
    </xf>
    <xf numFmtId="0" fontId="9" fillId="14" borderId="15" xfId="0" applyFont="1" applyFill="1" applyBorder="1" applyAlignment="1" applyProtection="1">
      <alignment horizontal="right"/>
      <protection hidden="1"/>
    </xf>
    <xf numFmtId="0" fontId="14" fillId="13" borderId="0" xfId="39" applyNumberFormat="1" applyFill="1" applyBorder="1" applyAlignment="1" applyProtection="1">
      <alignment vertical="center"/>
      <protection hidden="1"/>
    </xf>
    <xf numFmtId="0" fontId="9" fillId="14" borderId="0" xfId="0" applyFont="1" applyFill="1" applyAlignment="1" applyProtection="1">
      <alignment horizontal="left"/>
      <protection hidden="1"/>
    </xf>
    <xf numFmtId="2" fontId="9" fillId="14" borderId="0" xfId="0" applyNumberFormat="1" applyFont="1" applyFill="1" applyAlignment="1" applyProtection="1">
      <alignment horizontal="right"/>
      <protection hidden="1"/>
    </xf>
    <xf numFmtId="0" fontId="9" fillId="14" borderId="0" xfId="0" applyFont="1" applyFill="1" applyAlignment="1" applyProtection="1">
      <alignment horizontal="right"/>
      <protection hidden="1"/>
    </xf>
    <xf numFmtId="0" fontId="1" fillId="0" borderId="0" xfId="44" applyFont="1" applyAlignment="1" applyProtection="1">
      <alignment horizontal="left" vertical="center"/>
      <protection hidden="1"/>
    </xf>
    <xf numFmtId="3" fontId="1" fillId="0" borderId="0" xfId="0" applyNumberFormat="1" applyFont="1" applyAlignment="1" applyProtection="1">
      <alignment horizontal="center" vertical="center"/>
      <protection hidden="1"/>
    </xf>
    <xf numFmtId="3" fontId="1" fillId="0" borderId="2" xfId="0" applyNumberFormat="1" applyFont="1" applyBorder="1" applyAlignment="1" applyProtection="1">
      <alignment horizontal="left" vertical="center" wrapText="1"/>
      <protection hidden="1"/>
    </xf>
    <xf numFmtId="3" fontId="1" fillId="0" borderId="2" xfId="0" applyNumberFormat="1" applyFont="1" applyBorder="1" applyAlignment="1" applyProtection="1">
      <alignment horizontal="left" vertical="center"/>
      <protection hidden="1"/>
    </xf>
    <xf numFmtId="180" fontId="1" fillId="15" borderId="2" xfId="0" applyNumberFormat="1" applyFont="1" applyFill="1" applyBorder="1" applyAlignment="1" applyProtection="1">
      <alignment vertical="center"/>
      <protection hidden="1"/>
    </xf>
    <xf numFmtId="177" fontId="1" fillId="0" borderId="2" xfId="0" applyNumberFormat="1" applyFont="1" applyBorder="1" applyAlignment="1" applyProtection="1">
      <alignment vertical="center"/>
      <protection hidden="1"/>
    </xf>
    <xf numFmtId="0" fontId="10" fillId="0" borderId="0" xfId="44" applyFont="1" applyAlignment="1" applyProtection="1">
      <alignment vertical="center" wrapText="1"/>
      <protection hidden="1"/>
    </xf>
    <xf numFmtId="0" fontId="0" fillId="0" borderId="0" xfId="44" applyFont="1" applyProtection="1">
      <alignment/>
      <protection hidden="1"/>
    </xf>
    <xf numFmtId="2" fontId="0" fillId="0" borderId="0" xfId="0" applyNumberFormat="1" applyProtection="1">
      <protection hidden="1"/>
    </xf>
    <xf numFmtId="167" fontId="0" fillId="0" borderId="0" xfId="0" applyNumberFormat="1" applyProtection="1">
      <protection hidden="1"/>
    </xf>
    <xf numFmtId="3" fontId="0" fillId="0" borderId="0" xfId="0" applyNumberFormat="1" applyProtection="1">
      <protection hidden="1"/>
    </xf>
    <xf numFmtId="3" fontId="21" fillId="0" borderId="0" xfId="0" applyNumberFormat="1" applyFont="1" applyAlignment="1" applyProtection="1">
      <alignment horizontal="left" vertical="center" wrapText="1"/>
      <protection hidden="1"/>
    </xf>
    <xf numFmtId="0" fontId="9" fillId="6" borderId="17" xfId="44" applyFont="1" applyFill="1" applyBorder="1" applyAlignment="1" applyProtection="1">
      <alignment vertical="center" wrapText="1"/>
      <protection hidden="1"/>
    </xf>
    <xf numFmtId="0" fontId="0" fillId="6" borderId="18" xfId="44" applyFont="1" applyFill="1" applyBorder="1" applyProtection="1">
      <alignment/>
      <protection hidden="1"/>
    </xf>
    <xf numFmtId="2" fontId="0" fillId="6" borderId="18" xfId="0" applyNumberFormat="1" applyFill="1" applyBorder="1" applyProtection="1">
      <protection hidden="1"/>
    </xf>
    <xf numFmtId="167" fontId="0" fillId="6" borderId="18" xfId="0" applyNumberFormat="1" applyFill="1" applyBorder="1" applyProtection="1">
      <protection hidden="1"/>
    </xf>
    <xf numFmtId="176" fontId="1" fillId="6" borderId="12" xfId="0" applyNumberFormat="1" applyFont="1" applyFill="1" applyBorder="1" applyProtection="1">
      <protection hidden="1"/>
    </xf>
    <xf numFmtId="0" fontId="9" fillId="0" borderId="0" xfId="44" applyFont="1" applyFill="1" applyBorder="1" applyAlignment="1" applyProtection="1">
      <alignment vertical="center" wrapText="1"/>
      <protection hidden="1"/>
    </xf>
    <xf numFmtId="0" fontId="0" fillId="0" borderId="0" xfId="44" applyFont="1" applyFill="1" applyBorder="1" applyProtection="1">
      <alignment/>
      <protection hidden="1"/>
    </xf>
    <xf numFmtId="2" fontId="0" fillId="0" borderId="0" xfId="0" applyNumberFormat="1" applyFill="1" applyBorder="1" applyProtection="1">
      <protection hidden="1"/>
    </xf>
    <xf numFmtId="167" fontId="0" fillId="0" borderId="0" xfId="0" applyNumberFormat="1" applyFill="1" applyBorder="1" applyProtection="1">
      <protection hidden="1"/>
    </xf>
    <xf numFmtId="176" fontId="1" fillId="0" borderId="0" xfId="0" applyNumberFormat="1" applyFont="1" applyFill="1" applyBorder="1" applyProtection="1">
      <protection hidden="1"/>
    </xf>
    <xf numFmtId="170" fontId="46" fillId="0" borderId="4" xfId="0" applyNumberFormat="1" applyFont="1" applyBorder="1" applyAlignment="1" applyProtection="1">
      <alignment horizontal="left"/>
      <protection hidden="1"/>
    </xf>
    <xf numFmtId="3" fontId="0" fillId="0" borderId="0" xfId="0" applyNumberFormat="1" applyFont="1" applyFill="1" applyBorder="1" applyAlignment="1" applyProtection="1">
      <alignment horizontal="center" vertical="center"/>
      <protection hidden="1"/>
    </xf>
    <xf numFmtId="0" fontId="19" fillId="0" borderId="0" xfId="44" applyFont="1" applyFill="1" applyBorder="1" applyAlignment="1" applyProtection="1">
      <alignment vertical="center"/>
      <protection hidden="1"/>
    </xf>
    <xf numFmtId="0" fontId="34" fillId="0" borderId="0" xfId="44" applyFont="1" applyFill="1" applyBorder="1" applyAlignment="1" applyProtection="1">
      <alignment horizontal="left" vertical="center"/>
      <protection hidden="1"/>
    </xf>
    <xf numFmtId="0" fontId="15" fillId="0" borderId="0" xfId="0" applyNumberFormat="1" applyFont="1" applyFill="1" applyBorder="1" applyAlignment="1" applyProtection="1">
      <alignment horizontal="center" vertical="center"/>
      <protection hidden="1"/>
    </xf>
    <xf numFmtId="0" fontId="30" fillId="0" borderId="0" xfId="0" applyFont="1" applyFill="1" applyAlignment="1" applyProtection="1">
      <alignment horizontal="center" vertical="center"/>
      <protection hidden="1"/>
    </xf>
    <xf numFmtId="0" fontId="19" fillId="0" borderId="0" xfId="0" applyFont="1" applyFill="1" applyProtection="1">
      <protection hidden="1"/>
    </xf>
    <xf numFmtId="0" fontId="19" fillId="0" borderId="0" xfId="0" applyFont="1" applyProtection="1">
      <protection hidden="1"/>
    </xf>
    <xf numFmtId="0" fontId="1" fillId="0" borderId="0" xfId="44" applyFont="1" applyFill="1" applyBorder="1" applyAlignment="1" applyProtection="1">
      <alignment vertical="center"/>
      <protection hidden="1"/>
    </xf>
    <xf numFmtId="0" fontId="37" fillId="0" borderId="0" xfId="44" applyFont="1" applyFill="1" applyBorder="1" applyAlignment="1" applyProtection="1">
      <alignment horizontal="left" vertical="center"/>
      <protection hidden="1"/>
    </xf>
    <xf numFmtId="3" fontId="1" fillId="0" borderId="0" xfId="0" applyNumberFormat="1" applyFont="1" applyFill="1" applyBorder="1" applyAlignment="1" applyProtection="1">
      <alignment horizontal="center" vertical="center"/>
      <protection hidden="1"/>
    </xf>
    <xf numFmtId="3" fontId="1" fillId="0" borderId="2" xfId="0" applyNumberFormat="1" applyFont="1" applyFill="1" applyBorder="1" applyAlignment="1" applyProtection="1">
      <alignment horizontal="left" vertical="center" wrapText="1"/>
      <protection hidden="1"/>
    </xf>
    <xf numFmtId="3" fontId="1" fillId="0" borderId="2" xfId="0" applyNumberFormat="1" applyFont="1" applyFill="1" applyBorder="1" applyAlignment="1" applyProtection="1">
      <alignment horizontal="left" vertical="center"/>
      <protection hidden="1"/>
    </xf>
    <xf numFmtId="177" fontId="1" fillId="16" borderId="2" xfId="0" applyNumberFormat="1" applyFont="1" applyFill="1" applyBorder="1" applyAlignment="1" applyProtection="1">
      <alignment vertical="center"/>
      <protection hidden="1"/>
    </xf>
    <xf numFmtId="177" fontId="1" fillId="0" borderId="2" xfId="0" applyNumberFormat="1" applyFont="1" applyFill="1" applyBorder="1" applyAlignment="1" applyProtection="1">
      <alignment vertical="center"/>
      <protection hidden="1"/>
    </xf>
    <xf numFmtId="0" fontId="37" fillId="0" borderId="0" xfId="44" applyFont="1" applyFill="1" applyBorder="1" applyAlignment="1" applyProtection="1">
      <alignment horizontal="left" vertical="center"/>
      <protection hidden="1"/>
    </xf>
    <xf numFmtId="0" fontId="37" fillId="0" borderId="0" xfId="44" applyFont="1" applyAlignment="1" applyProtection="1">
      <alignment horizontal="left" vertical="center"/>
      <protection hidden="1"/>
    </xf>
    <xf numFmtId="3" fontId="1" fillId="11" borderId="0" xfId="0" applyNumberFormat="1" applyFont="1" applyFill="1" applyBorder="1" applyAlignment="1" applyProtection="1">
      <alignment horizontal="center" vertical="center"/>
      <protection hidden="1"/>
    </xf>
    <xf numFmtId="0" fontId="1" fillId="0" borderId="0" xfId="44" applyFont="1" applyAlignment="1" applyProtection="1">
      <alignment vertical="center"/>
      <protection hidden="1"/>
    </xf>
    <xf numFmtId="170" fontId="0" fillId="0" borderId="0" xfId="0" applyNumberFormat="1" applyFont="1" applyFill="1" applyProtection="1">
      <protection hidden="1"/>
    </xf>
    <xf numFmtId="0" fontId="31" fillId="0" borderId="0" xfId="0" applyFont="1" applyFill="1" applyAlignment="1" applyProtection="1">
      <alignment horizontal="left" vertical="center"/>
      <protection hidden="1"/>
    </xf>
    <xf numFmtId="0" fontId="37" fillId="0" borderId="0" xfId="44" applyFont="1" applyFill="1" applyAlignment="1" applyProtection="1">
      <alignment horizontal="left" vertical="center"/>
      <protection hidden="1"/>
    </xf>
    <xf numFmtId="167" fontId="35" fillId="0" borderId="2" xfId="0" applyNumberFormat="1" applyFont="1" applyFill="1" applyBorder="1" applyAlignment="1" applyProtection="1">
      <alignment horizontal="left" vertical="center"/>
      <protection hidden="1"/>
    </xf>
    <xf numFmtId="170" fontId="35" fillId="0" borderId="2" xfId="0" applyNumberFormat="1" applyFont="1" applyFill="1" applyBorder="1" applyAlignment="1" applyProtection="1">
      <alignment horizontal="left" vertical="center"/>
      <protection hidden="1"/>
    </xf>
    <xf numFmtId="3" fontId="38" fillId="0" borderId="0" xfId="0" applyNumberFormat="1" applyFont="1" applyFill="1" applyBorder="1" applyAlignment="1" applyProtection="1">
      <alignment horizontal="center" vertical="center"/>
      <protection hidden="1"/>
    </xf>
    <xf numFmtId="0" fontId="27" fillId="11" borderId="0" xfId="0" applyFont="1" applyFill="1" applyAlignment="1" applyProtection="1">
      <alignment horizontal="center" vertical="center"/>
      <protection hidden="1"/>
    </xf>
    <xf numFmtId="170" fontId="9" fillId="0" borderId="0" xfId="0" applyNumberFormat="1" applyFont="1" applyProtection="1">
      <protection hidden="1"/>
    </xf>
    <xf numFmtId="0" fontId="20" fillId="6" borderId="17" xfId="44" applyFont="1" applyFill="1" applyBorder="1" applyAlignment="1" applyProtection="1">
      <alignment vertical="center" wrapText="1"/>
      <protection hidden="1"/>
    </xf>
    <xf numFmtId="0" fontId="1" fillId="6" borderId="18" xfId="44" applyFont="1" applyFill="1" applyBorder="1" applyProtection="1">
      <alignment/>
      <protection hidden="1"/>
    </xf>
    <xf numFmtId="170" fontId="1" fillId="6" borderId="18" xfId="0" applyNumberFormat="1" applyFont="1" applyFill="1" applyBorder="1" applyProtection="1">
      <protection hidden="1"/>
    </xf>
    <xf numFmtId="177" fontId="1" fillId="6" borderId="18" xfId="0" applyNumberFormat="1" applyFont="1" applyFill="1" applyBorder="1" applyProtection="1">
      <protection hidden="1"/>
    </xf>
    <xf numFmtId="177" fontId="1" fillId="6" borderId="12" xfId="0" applyNumberFormat="1" applyFont="1" applyFill="1" applyBorder="1" applyProtection="1">
      <protection hidden="1"/>
    </xf>
    <xf numFmtId="0" fontId="0" fillId="0" borderId="0" xfId="44" applyFont="1" applyFill="1" applyBorder="1" applyAlignment="1" applyProtection="1">
      <alignment vertical="center" wrapText="1"/>
      <protection hidden="1"/>
    </xf>
    <xf numFmtId="3" fontId="0" fillId="0" borderId="0" xfId="0" applyNumberFormat="1" applyFont="1" applyBorder="1" applyProtection="1">
      <protection hidden="1"/>
    </xf>
    <xf numFmtId="170" fontId="14" fillId="13" borderId="15" xfId="39" applyNumberFormat="1" applyFill="1" applyBorder="1" applyAlignment="1" applyProtection="1">
      <alignment vertical="center"/>
      <protection hidden="1"/>
    </xf>
    <xf numFmtId="0" fontId="15" fillId="0" borderId="0" xfId="0" applyNumberFormat="1" applyFont="1" applyFill="1" applyBorder="1" applyAlignment="1" applyProtection="1">
      <alignment horizontal="center" vertical="center"/>
      <protection hidden="1"/>
    </xf>
    <xf numFmtId="167" fontId="35" fillId="0" borderId="2" xfId="0" applyNumberFormat="1" applyFont="1" applyBorder="1" applyAlignment="1" applyProtection="1">
      <alignment horizontal="left" vertical="center"/>
      <protection hidden="1"/>
    </xf>
    <xf numFmtId="167" fontId="1" fillId="0" borderId="0" xfId="0" applyNumberFormat="1" applyFont="1" applyFill="1" applyBorder="1" applyAlignment="1" applyProtection="1">
      <alignment horizontal="right" vertical="center"/>
      <protection hidden="1"/>
    </xf>
    <xf numFmtId="0" fontId="37" fillId="0" borderId="0" xfId="44" applyFont="1" applyFill="1" applyAlignment="1" applyProtection="1">
      <alignment horizontal="left" vertical="center"/>
      <protection hidden="1"/>
    </xf>
    <xf numFmtId="167" fontId="0" fillId="0" borderId="0" xfId="0" applyNumberFormat="1" applyFont="1" applyFill="1" applyBorder="1" applyProtection="1">
      <protection hidden="1"/>
    </xf>
    <xf numFmtId="0" fontId="49" fillId="0" borderId="0" xfId="44" applyFont="1" applyFill="1" applyAlignment="1" applyProtection="1">
      <alignment horizontal="left" vertical="center"/>
      <protection hidden="1"/>
    </xf>
    <xf numFmtId="3" fontId="24" fillId="0" borderId="0" xfId="0" applyNumberFormat="1" applyFont="1" applyAlignment="1" applyProtection="1">
      <alignment horizontal="center" vertical="center"/>
      <protection hidden="1"/>
    </xf>
    <xf numFmtId="3" fontId="24" fillId="0" borderId="2" xfId="0" applyNumberFormat="1" applyFont="1" applyBorder="1" applyAlignment="1" applyProtection="1">
      <alignment horizontal="left" vertical="center" wrapText="1"/>
      <protection hidden="1"/>
    </xf>
    <xf numFmtId="3" fontId="24" fillId="0" borderId="2" xfId="0" applyNumberFormat="1" applyFont="1" applyBorder="1" applyAlignment="1" applyProtection="1">
      <alignment horizontal="left" vertical="center"/>
      <protection hidden="1"/>
    </xf>
    <xf numFmtId="170" fontId="24" fillId="0" borderId="2" xfId="0" applyNumberFormat="1" applyFont="1" applyBorder="1" applyAlignment="1" applyProtection="1">
      <alignment horizontal="right" vertical="center"/>
      <protection hidden="1"/>
    </xf>
    <xf numFmtId="177" fontId="24" fillId="0" borderId="2" xfId="0" applyNumberFormat="1" applyFont="1" applyBorder="1" applyAlignment="1" applyProtection="1">
      <alignment vertical="center"/>
      <protection hidden="1"/>
    </xf>
    <xf numFmtId="3" fontId="24" fillId="0" borderId="0" xfId="0" applyNumberFormat="1" applyFont="1" applyFill="1" applyBorder="1" applyAlignment="1" applyProtection="1">
      <alignment horizontal="center" vertical="center"/>
      <protection hidden="1"/>
    </xf>
    <xf numFmtId="3" fontId="24" fillId="0" borderId="2" xfId="0" applyNumberFormat="1" applyFont="1" applyFill="1" applyBorder="1" applyAlignment="1" applyProtection="1">
      <alignment horizontal="left" vertical="center" wrapText="1"/>
      <protection hidden="1"/>
    </xf>
    <xf numFmtId="3" fontId="24" fillId="0" borderId="2" xfId="0" applyNumberFormat="1" applyFont="1" applyFill="1" applyBorder="1" applyAlignment="1" applyProtection="1">
      <alignment horizontal="left" vertical="center"/>
      <protection hidden="1"/>
    </xf>
    <xf numFmtId="177" fontId="24" fillId="0" borderId="2" xfId="0" applyNumberFormat="1" applyFont="1" applyFill="1" applyBorder="1" applyAlignment="1" applyProtection="1">
      <alignment vertical="center"/>
      <protection hidden="1"/>
    </xf>
    <xf numFmtId="0" fontId="0" fillId="0" borderId="19" xfId="44" applyFont="1" applyFill="1" applyBorder="1" applyAlignment="1" applyProtection="1">
      <alignment vertical="center" wrapText="1"/>
      <protection hidden="1"/>
    </xf>
    <xf numFmtId="170" fontId="0" fillId="6" borderId="18" xfId="0" applyNumberFormat="1" applyFont="1" applyFill="1" applyBorder="1" applyProtection="1">
      <protection hidden="1"/>
    </xf>
    <xf numFmtId="167" fontId="0" fillId="6" borderId="18" xfId="0" applyNumberFormat="1" applyFont="1" applyFill="1" applyBorder="1" applyProtection="1">
      <protection hidden="1"/>
    </xf>
    <xf numFmtId="0" fontId="14" fillId="13" borderId="15" xfId="39" applyNumberFormat="1" applyFont="1" applyFill="1" applyBorder="1" applyAlignment="1" applyProtection="1">
      <alignment vertical="center"/>
      <protection hidden="1"/>
    </xf>
    <xf numFmtId="3" fontId="21" fillId="17" borderId="15" xfId="0" applyNumberFormat="1" applyFont="1" applyFill="1" applyBorder="1" applyAlignment="1" applyProtection="1">
      <alignment vertical="center" wrapText="1"/>
      <protection hidden="1"/>
    </xf>
    <xf numFmtId="0" fontId="0" fillId="0" borderId="0" xfId="0" applyFill="1" applyProtection="1">
      <protection hidden="1"/>
    </xf>
    <xf numFmtId="3" fontId="1" fillId="11" borderId="0" xfId="0" applyNumberFormat="1" applyFont="1" applyFill="1" applyAlignment="1" applyProtection="1">
      <alignment horizontal="center" vertical="center"/>
      <protection hidden="1"/>
    </xf>
    <xf numFmtId="0" fontId="31" fillId="0" borderId="0" xfId="0" applyFont="1" applyFill="1" applyProtection="1">
      <protection hidden="1"/>
    </xf>
    <xf numFmtId="0" fontId="14" fillId="0" borderId="0" xfId="39" applyProtection="1">
      <protection hidden="1"/>
    </xf>
    <xf numFmtId="0" fontId="49" fillId="0" borderId="0" xfId="44" applyFont="1" applyAlignment="1" applyProtection="1">
      <alignment horizontal="left" vertical="center"/>
      <protection hidden="1"/>
    </xf>
    <xf numFmtId="167" fontId="27" fillId="0" borderId="0" xfId="0" applyNumberFormat="1" applyFont="1" applyFill="1" applyBorder="1" applyAlignment="1" applyProtection="1">
      <alignment horizontal="center" vertical="center"/>
      <protection hidden="1"/>
    </xf>
    <xf numFmtId="3" fontId="1" fillId="0" borderId="0" xfId="0" applyNumberFormat="1" applyFont="1" applyFill="1" applyBorder="1" applyAlignment="1" applyProtection="1">
      <alignment horizontal="left" vertical="center"/>
      <protection hidden="1"/>
    </xf>
    <xf numFmtId="177" fontId="1" fillId="0" borderId="0" xfId="0" applyNumberFormat="1" applyFont="1" applyFill="1" applyBorder="1" applyAlignment="1" applyProtection="1">
      <alignment vertical="center"/>
      <protection hidden="1"/>
    </xf>
    <xf numFmtId="3" fontId="1" fillId="17" borderId="15" xfId="0" applyNumberFormat="1" applyFont="1" applyFill="1" applyBorder="1" applyAlignment="1" applyProtection="1">
      <alignment vertical="center" wrapText="1"/>
      <protection hidden="1"/>
    </xf>
    <xf numFmtId="167" fontId="35" fillId="0" borderId="2" xfId="0" applyNumberFormat="1" applyFont="1" applyFill="1" applyBorder="1" applyAlignment="1" applyProtection="1">
      <alignment horizontal="left" vertical="center" wrapText="1"/>
      <protection hidden="1"/>
    </xf>
    <xf numFmtId="170" fontId="35" fillId="0" borderId="2" xfId="0" applyNumberFormat="1" applyFont="1" applyFill="1" applyBorder="1" applyAlignment="1" applyProtection="1">
      <alignment horizontal="right" vertical="center"/>
      <protection hidden="1"/>
    </xf>
    <xf numFmtId="3" fontId="1" fillId="0" borderId="0" xfId="0" applyNumberFormat="1" applyFont="1" applyFill="1" applyAlignment="1" applyProtection="1">
      <alignment horizontal="center" vertical="center"/>
      <protection hidden="1"/>
    </xf>
    <xf numFmtId="0" fontId="37" fillId="11" borderId="0" xfId="44" applyFont="1" applyFill="1" applyBorder="1" applyAlignment="1" applyProtection="1">
      <alignment horizontal="left" vertical="center"/>
      <protection hidden="1"/>
    </xf>
    <xf numFmtId="3" fontId="24" fillId="0" borderId="0" xfId="0" applyNumberFormat="1" applyFont="1" applyFill="1" applyAlignment="1" applyProtection="1">
      <alignment horizontal="center" vertical="center"/>
      <protection hidden="1"/>
    </xf>
    <xf numFmtId="177" fontId="0" fillId="0" borderId="0" xfId="0" applyNumberFormat="1" applyFont="1" applyFill="1" applyProtection="1">
      <protection hidden="1"/>
    </xf>
    <xf numFmtId="3" fontId="1" fillId="17" borderId="16" xfId="0" applyNumberFormat="1" applyFont="1" applyFill="1" applyBorder="1" applyAlignment="1" applyProtection="1">
      <alignment vertical="center" wrapText="1"/>
      <protection hidden="1"/>
    </xf>
    <xf numFmtId="3" fontId="38" fillId="0" borderId="0" xfId="0" applyNumberFormat="1" applyFont="1" applyAlignment="1" applyProtection="1">
      <alignment horizontal="center" vertical="center"/>
      <protection hidden="1"/>
    </xf>
    <xf numFmtId="3" fontId="38" fillId="18" borderId="0" xfId="0" applyNumberFormat="1" applyFont="1" applyFill="1" applyAlignment="1" applyProtection="1">
      <alignment horizontal="center" vertical="center"/>
      <protection hidden="1"/>
    </xf>
    <xf numFmtId="0" fontId="49" fillId="11" borderId="0" xfId="44" applyFont="1" applyFill="1" applyAlignment="1" applyProtection="1">
      <alignment horizontal="left" vertical="center"/>
      <protection hidden="1"/>
    </xf>
    <xf numFmtId="0" fontId="40" fillId="6" borderId="17" xfId="44" applyFont="1" applyFill="1" applyBorder="1" applyAlignment="1" applyProtection="1">
      <alignment vertical="center" wrapText="1"/>
      <protection hidden="1"/>
    </xf>
    <xf numFmtId="0" fontId="41" fillId="6" borderId="18" xfId="44" applyFont="1" applyFill="1" applyBorder="1" applyAlignment="1" applyProtection="1">
      <alignment vertical="center"/>
      <protection hidden="1"/>
    </xf>
    <xf numFmtId="170" fontId="41" fillId="6" borderId="18" xfId="0" applyNumberFormat="1" applyFont="1" applyFill="1" applyBorder="1" applyAlignment="1" applyProtection="1">
      <alignment vertical="center"/>
      <protection hidden="1"/>
    </xf>
    <xf numFmtId="177" fontId="41" fillId="6" borderId="18" xfId="0" applyNumberFormat="1" applyFont="1" applyFill="1" applyBorder="1" applyAlignment="1" applyProtection="1">
      <alignment vertical="center"/>
      <protection hidden="1"/>
    </xf>
    <xf numFmtId="176" fontId="40" fillId="6" borderId="12" xfId="0" applyNumberFormat="1" applyFont="1" applyFill="1" applyBorder="1" applyAlignment="1" applyProtection="1">
      <alignment vertical="center"/>
      <protection hidden="1"/>
    </xf>
    <xf numFmtId="0" fontId="31" fillId="0" borderId="0" xfId="0" applyFont="1" applyBorder="1" applyAlignment="1" applyProtection="1">
      <alignment horizontal="left" vertical="center"/>
      <protection hidden="1"/>
    </xf>
    <xf numFmtId="0" fontId="31" fillId="0" borderId="0" xfId="0" applyFont="1" applyAlignment="1" applyProtection="1">
      <alignment horizontal="left" vertical="center"/>
      <protection hidden="1"/>
    </xf>
    <xf numFmtId="0" fontId="0" fillId="0" borderId="19" xfId="44" applyFont="1" applyFill="1" applyBorder="1" applyAlignment="1" applyProtection="1">
      <alignment vertical="center" wrapText="1"/>
      <protection hidden="1"/>
    </xf>
    <xf numFmtId="0" fontId="31" fillId="0" borderId="0" xfId="0" applyFont="1" applyAlignment="1" applyProtection="1">
      <alignment horizontal="left"/>
      <protection hidden="1"/>
    </xf>
    <xf numFmtId="0" fontId="0" fillId="0" borderId="19" xfId="44" applyFont="1" applyBorder="1" applyAlignment="1" applyProtection="1">
      <alignment vertical="center" wrapText="1"/>
      <protection hidden="1"/>
    </xf>
    <xf numFmtId="0" fontId="0" fillId="0" borderId="19" xfId="44" applyFont="1" applyBorder="1" applyAlignment="1" applyProtection="1">
      <alignment vertical="center" wrapText="1"/>
      <protection hidden="1"/>
    </xf>
    <xf numFmtId="3" fontId="1" fillId="18" borderId="0" xfId="0" applyNumberFormat="1" applyFont="1" applyFill="1" applyAlignment="1" applyProtection="1">
      <alignment horizontal="center" vertical="center"/>
      <protection hidden="1"/>
    </xf>
    <xf numFmtId="3" fontId="24" fillId="18" borderId="0" xfId="0" applyNumberFormat="1" applyFont="1" applyFill="1" applyAlignment="1" applyProtection="1">
      <alignment horizontal="center" vertical="center"/>
      <protection hidden="1"/>
    </xf>
    <xf numFmtId="0" fontId="14" fillId="13" borderId="20" xfId="39" applyNumberFormat="1" applyFill="1" applyBorder="1" applyAlignment="1" applyProtection="1">
      <alignment vertical="center"/>
      <protection hidden="1"/>
    </xf>
    <xf numFmtId="170" fontId="14" fillId="13" borderId="20" xfId="39" applyNumberFormat="1" applyFill="1" applyBorder="1" applyAlignment="1" applyProtection="1">
      <alignment vertical="center"/>
      <protection hidden="1"/>
    </xf>
    <xf numFmtId="3" fontId="1" fillId="0" borderId="0" xfId="0" applyNumberFormat="1" applyFont="1" applyAlignment="1" applyProtection="1">
      <alignment horizontal="left" vertical="center"/>
      <protection hidden="1"/>
    </xf>
    <xf numFmtId="177" fontId="1" fillId="0" borderId="0" xfId="0" applyNumberFormat="1" applyFont="1" applyAlignment="1" applyProtection="1">
      <alignment vertical="center"/>
      <protection hidden="1"/>
    </xf>
    <xf numFmtId="0" fontId="15" fillId="0" borderId="0" xfId="0" applyFont="1" applyFill="1" applyAlignment="1" applyProtection="1">
      <alignment horizontal="center" vertical="center"/>
      <protection hidden="1"/>
    </xf>
    <xf numFmtId="0" fontId="14" fillId="13" borderId="15" xfId="39" applyFont="1" applyFill="1" applyBorder="1" applyAlignment="1" applyProtection="1">
      <alignment vertical="center"/>
      <protection hidden="1"/>
    </xf>
    <xf numFmtId="0" fontId="14" fillId="13" borderId="15" xfId="39" applyFill="1" applyBorder="1" applyAlignment="1" applyProtection="1">
      <alignment vertical="center"/>
      <protection hidden="1"/>
    </xf>
    <xf numFmtId="0" fontId="15" fillId="0" borderId="0" xfId="0" applyFont="1" applyFill="1" applyAlignment="1" applyProtection="1">
      <alignment horizontal="center" vertical="center"/>
      <protection hidden="1"/>
    </xf>
    <xf numFmtId="0" fontId="50" fillId="0" borderId="0" xfId="0" applyFont="1" applyAlignment="1" applyProtection="1">
      <alignment horizontal="center" vertical="center"/>
      <protection hidden="1"/>
    </xf>
    <xf numFmtId="0" fontId="51" fillId="0" borderId="0" xfId="0" applyFont="1" applyFill="1" applyAlignment="1" applyProtection="1">
      <alignment vertical="center" wrapText="1"/>
      <protection hidden="1"/>
    </xf>
    <xf numFmtId="0" fontId="0" fillId="0" borderId="0" xfId="0" applyFill="1" applyAlignment="1" applyProtection="1">
      <alignment vertical="center" wrapText="1"/>
      <protection hidden="1"/>
    </xf>
    <xf numFmtId="170" fontId="0" fillId="6" borderId="18" xfId="0" applyNumberFormat="1" applyFill="1" applyBorder="1" applyProtection="1">
      <protection hidden="1"/>
    </xf>
    <xf numFmtId="0" fontId="0" fillId="0" borderId="19" xfId="44" applyFont="1" applyBorder="1" applyAlignment="1" applyProtection="1">
      <alignment vertical="center" wrapText="1"/>
      <protection hidden="1"/>
    </xf>
    <xf numFmtId="0" fontId="15" fillId="11" borderId="0" xfId="0" applyNumberFormat="1" applyFont="1" applyFill="1" applyBorder="1" applyAlignment="1" applyProtection="1">
      <alignment horizontal="center" vertical="center"/>
      <protection hidden="1"/>
    </xf>
    <xf numFmtId="3" fontId="0" fillId="6" borderId="12" xfId="0" applyNumberFormat="1" applyFont="1" applyFill="1" applyBorder="1" applyProtection="1">
      <protection hidden="1"/>
    </xf>
    <xf numFmtId="0" fontId="37" fillId="0" borderId="0" xfId="44" applyFont="1" applyAlignment="1">
      <alignment horizontal="left" vertical="center"/>
      <protection/>
    </xf>
    <xf numFmtId="0" fontId="1" fillId="0" borderId="0" xfId="44" applyFont="1" applyAlignment="1">
      <alignment vertical="center"/>
      <protection/>
    </xf>
    <xf numFmtId="3" fontId="1" fillId="0" borderId="0" xfId="0" applyNumberFormat="1" applyFont="1" applyAlignment="1">
      <alignment horizontal="center" vertical="center"/>
    </xf>
    <xf numFmtId="3" fontId="1" fillId="0" borderId="2" xfId="0" applyNumberFormat="1" applyFont="1" applyBorder="1" applyAlignment="1">
      <alignment horizontal="left" vertical="center" wrapText="1"/>
    </xf>
    <xf numFmtId="3" fontId="1" fillId="0" borderId="2" xfId="0" applyNumberFormat="1" applyFont="1" applyBorder="1" applyAlignment="1">
      <alignment horizontal="left" vertical="center"/>
    </xf>
    <xf numFmtId="170" fontId="1" fillId="0" borderId="2" xfId="0" applyNumberFormat="1" applyFont="1" applyBorder="1" applyAlignment="1">
      <alignment horizontal="right" vertical="center"/>
    </xf>
    <xf numFmtId="177" fontId="1" fillId="0" borderId="2" xfId="0" applyNumberFormat="1" applyFont="1" applyBorder="1" applyAlignment="1">
      <alignment vertical="center"/>
    </xf>
    <xf numFmtId="0" fontId="27" fillId="0" borderId="0" xfId="0" applyFont="1" applyAlignment="1">
      <alignment horizontal="center" vertical="center"/>
    </xf>
    <xf numFmtId="0" fontId="31" fillId="0" borderId="0" xfId="0" applyFont="1"/>
    <xf numFmtId="0" fontId="0" fillId="0" borderId="19" xfId="44" applyFont="1" applyBorder="1" applyAlignment="1">
      <alignment vertical="center" wrapText="1"/>
      <protection/>
    </xf>
    <xf numFmtId="9" fontId="0" fillId="0" borderId="0" xfId="45" applyProtection="1">
      <protection hidden="1"/>
    </xf>
    <xf numFmtId="177" fontId="1" fillId="16" borderId="2" xfId="0" applyNumberFormat="1" applyFont="1" applyFill="1" applyBorder="1" applyAlignment="1" applyProtection="1">
      <alignment vertical="center"/>
      <protection hidden="1" locked="0"/>
    </xf>
    <xf numFmtId="180" fontId="1" fillId="16" borderId="2" xfId="0" applyNumberFormat="1" applyFont="1" applyFill="1" applyBorder="1" applyAlignment="1" applyProtection="1">
      <alignment vertical="center"/>
      <protection hidden="1" locked="0"/>
    </xf>
    <xf numFmtId="177" fontId="24" fillId="16" borderId="2" xfId="0" applyNumberFormat="1" applyFont="1" applyFill="1" applyBorder="1" applyAlignment="1" applyProtection="1">
      <alignment vertical="center"/>
      <protection hidden="1" locked="0"/>
    </xf>
    <xf numFmtId="166" fontId="1" fillId="16" borderId="2" xfId="0" applyNumberFormat="1" applyFont="1" applyFill="1" applyBorder="1" applyAlignment="1" applyProtection="1">
      <alignment vertical="center"/>
      <protection hidden="1" locked="0"/>
    </xf>
    <xf numFmtId="166" fontId="1" fillId="16" borderId="0" xfId="0" applyNumberFormat="1" applyFont="1" applyFill="1" applyBorder="1" applyAlignment="1" applyProtection="1">
      <alignment vertical="center"/>
      <protection hidden="1" locked="0"/>
    </xf>
    <xf numFmtId="9" fontId="0" fillId="16" borderId="2" xfId="45" applyFill="1" applyBorder="1" applyAlignment="1" applyProtection="1">
      <alignment vertical="center"/>
      <protection hidden="1" locked="0"/>
    </xf>
    <xf numFmtId="180" fontId="24" fillId="16" borderId="2" xfId="0" applyNumberFormat="1" applyFont="1" applyFill="1" applyBorder="1" applyAlignment="1" applyProtection="1">
      <alignment vertical="center"/>
      <protection hidden="1" locked="0"/>
    </xf>
    <xf numFmtId="177" fontId="24" fillId="0" borderId="2" xfId="0" applyNumberFormat="1" applyFont="1" applyFill="1" applyBorder="1" applyAlignment="1" applyProtection="1">
      <alignment vertical="center"/>
      <protection hidden="1" locked="0"/>
    </xf>
    <xf numFmtId="166" fontId="1" fillId="16" borderId="0" xfId="0" applyNumberFormat="1" applyFont="1" applyFill="1" applyAlignment="1" applyProtection="1">
      <alignment vertical="center"/>
      <protection hidden="1" locked="0"/>
    </xf>
    <xf numFmtId="177" fontId="1" fillId="16" borderId="2" xfId="0" applyNumberFormat="1" applyFont="1" applyFill="1" applyBorder="1" applyAlignment="1" applyProtection="1">
      <alignment vertical="center"/>
      <protection locked="0"/>
    </xf>
    <xf numFmtId="0" fontId="8" fillId="0" borderId="4" xfId="0" applyFont="1" applyBorder="1" applyAlignment="1" applyProtection="1">
      <alignment horizontal="right"/>
      <protection hidden="1" locked="0"/>
    </xf>
    <xf numFmtId="0" fontId="31" fillId="0" borderId="0" xfId="0" applyFont="1" applyProtection="1">
      <protection hidden="1" locked="0"/>
    </xf>
    <xf numFmtId="0" fontId="32" fillId="0" borderId="0" xfId="0" applyFont="1" applyProtection="1">
      <protection hidden="1" locked="0"/>
    </xf>
    <xf numFmtId="0" fontId="32" fillId="0" borderId="0" xfId="0" applyFont="1" applyFill="1" applyProtection="1">
      <protection hidden="1" locked="0"/>
    </xf>
    <xf numFmtId="0" fontId="33" fillId="0" borderId="0" xfId="0" applyFont="1" applyProtection="1">
      <protection hidden="1" locked="0"/>
    </xf>
    <xf numFmtId="0" fontId="0" fillId="0" borderId="0" xfId="0" applyFont="1" applyProtection="1">
      <protection hidden="1" locked="0"/>
    </xf>
    <xf numFmtId="0" fontId="9" fillId="14" borderId="15" xfId="0" applyFont="1" applyFill="1" applyBorder="1" applyAlignment="1" applyProtection="1">
      <alignment horizontal="right"/>
      <protection hidden="1" locked="0"/>
    </xf>
    <xf numFmtId="0" fontId="34" fillId="0" borderId="0" xfId="0" applyFont="1" applyProtection="1">
      <protection hidden="1" locked="0"/>
    </xf>
    <xf numFmtId="167" fontId="31" fillId="0" borderId="0" xfId="0" applyNumberFormat="1" applyFont="1" applyBorder="1" applyProtection="1">
      <protection hidden="1" locked="0"/>
    </xf>
    <xf numFmtId="0" fontId="31" fillId="0" borderId="0" xfId="0" applyFont="1" applyFill="1" applyProtection="1">
      <protection hidden="1" locked="0"/>
    </xf>
    <xf numFmtId="177" fontId="31" fillId="0" borderId="0" xfId="0" applyNumberFormat="1" applyFont="1" applyFill="1" applyProtection="1">
      <protection hidden="1" locked="0"/>
    </xf>
    <xf numFmtId="177" fontId="31" fillId="0" borderId="0" xfId="0" applyNumberFormat="1" applyFont="1" applyProtection="1">
      <protection hidden="1" locked="0"/>
    </xf>
    <xf numFmtId="0" fontId="0" fillId="0" borderId="0" xfId="0" applyProtection="1">
      <protection hidden="1" locked="0"/>
    </xf>
    <xf numFmtId="0" fontId="0" fillId="0" borderId="0" xfId="0" applyProtection="1">
      <protection locked="0"/>
    </xf>
    <xf numFmtId="4" fontId="1" fillId="19" borderId="0" xfId="0" applyNumberFormat="1" applyFont="1" applyFill="1" applyProtection="1">
      <protection locked="0"/>
    </xf>
    <xf numFmtId="166" fontId="0" fillId="19" borderId="0" xfId="45" applyNumberFormat="1" applyFill="1" applyProtection="1">
      <protection locked="0"/>
    </xf>
    <xf numFmtId="0" fontId="31" fillId="0" borderId="0" xfId="0" applyFont="1" applyFill="1" applyBorder="1" applyAlignment="1" applyProtection="1">
      <alignment horizontal="left"/>
      <protection hidden="1"/>
    </xf>
    <xf numFmtId="14" fontId="19" fillId="0" borderId="21" xfId="0" applyNumberFormat="1" applyFont="1" applyBorder="1" applyAlignment="1" applyProtection="1">
      <alignment horizontal="right"/>
      <protection hidden="1"/>
    </xf>
    <xf numFmtId="0" fontId="0" fillId="0" borderId="22" xfId="0" applyFont="1" applyBorder="1" applyAlignment="1" applyProtection="1">
      <alignment horizontal="left" vertical="center" wrapText="1"/>
      <protection/>
    </xf>
    <xf numFmtId="0" fontId="0" fillId="0" borderId="23" xfId="0" applyFont="1" applyBorder="1" applyAlignment="1" applyProtection="1">
      <alignment horizontal="left" vertical="center" wrapText="1"/>
      <protection/>
    </xf>
    <xf numFmtId="0" fontId="0" fillId="0" borderId="24" xfId="0" applyFont="1" applyBorder="1" applyAlignment="1" applyProtection="1">
      <alignment horizontal="left" vertical="center" wrapText="1"/>
      <protection/>
    </xf>
    <xf numFmtId="3" fontId="21" fillId="17" borderId="15" xfId="0" applyNumberFormat="1" applyFont="1" applyFill="1" applyBorder="1" applyAlignment="1" applyProtection="1">
      <alignment horizontal="left" vertical="center" wrapText="1"/>
      <protection hidden="1"/>
    </xf>
    <xf numFmtId="167" fontId="0" fillId="0" borderId="0" xfId="0" applyNumberFormat="1" applyFont="1" applyFill="1" applyBorder="1" applyAlignment="1" applyProtection="1">
      <alignment horizontal="left" vertical="top"/>
      <protection hidden="1"/>
    </xf>
    <xf numFmtId="3" fontId="1" fillId="17" borderId="15" xfId="0" applyNumberFormat="1" applyFont="1" applyFill="1" applyBorder="1" applyAlignment="1" applyProtection="1">
      <alignment horizontal="left" vertical="center" wrapText="1"/>
      <protection hidden="1"/>
    </xf>
    <xf numFmtId="167" fontId="0" fillId="0" borderId="0" xfId="0" applyNumberFormat="1" applyFill="1" applyBorder="1" applyAlignment="1" applyProtection="1">
      <alignment horizontal="left" vertical="top" wrapText="1"/>
      <protection hidden="1"/>
    </xf>
    <xf numFmtId="167" fontId="0" fillId="0" borderId="0" xfId="0" applyNumberFormat="1" applyFont="1" applyFill="1" applyBorder="1" applyAlignment="1" applyProtection="1">
      <alignment horizontal="left" vertical="top" wrapText="1"/>
      <protection hidden="1"/>
    </xf>
    <xf numFmtId="0" fontId="14" fillId="13" borderId="15" xfId="39" applyNumberFormat="1" applyFill="1" applyBorder="1" applyAlignment="1" applyProtection="1">
      <alignment vertical="center"/>
      <protection hidden="1"/>
    </xf>
    <xf numFmtId="3" fontId="1" fillId="0" borderId="16" xfId="0" applyNumberFormat="1" applyFont="1" applyBorder="1" applyAlignment="1" applyProtection="1">
      <alignment horizontal="left" vertical="center" wrapText="1"/>
      <protection hidden="1"/>
    </xf>
    <xf numFmtId="3" fontId="0" fillId="0" borderId="0" xfId="0" applyNumberFormat="1" applyFill="1" applyBorder="1" applyAlignment="1" applyProtection="1">
      <alignment horizontal="left" vertical="center" wrapText="1"/>
      <protection hidden="1"/>
    </xf>
    <xf numFmtId="3" fontId="0" fillId="0" borderId="0" xfId="0" applyNumberFormat="1" applyFont="1" applyFill="1" applyBorder="1" applyAlignment="1" applyProtection="1">
      <alignment horizontal="left" vertical="center" wrapText="1"/>
      <protection hidden="1"/>
    </xf>
    <xf numFmtId="3" fontId="21" fillId="0" borderId="16" xfId="0" applyNumberFormat="1" applyFont="1" applyBorder="1" applyAlignment="1" applyProtection="1">
      <alignment horizontal="left" vertical="center" wrapText="1"/>
      <protection hidden="1"/>
    </xf>
    <xf numFmtId="0" fontId="1" fillId="0" borderId="0" xfId="0" applyFont="1" applyAlignment="1" applyProtection="1">
      <alignment horizontal="justify"/>
      <protection hidden="1"/>
    </xf>
    <xf numFmtId="0" fontId="11" fillId="0" borderId="25" xfId="0" applyFont="1" applyBorder="1" applyAlignment="1" applyProtection="1">
      <alignment horizontal="center" vertical="center" wrapText="1"/>
      <protection hidden="1"/>
    </xf>
    <xf numFmtId="0" fontId="11" fillId="0" borderId="26" xfId="0" applyFont="1" applyBorder="1" applyAlignment="1" applyProtection="1">
      <alignment horizontal="center" vertical="center" wrapText="1"/>
      <protection hidden="1"/>
    </xf>
    <xf numFmtId="0" fontId="11" fillId="0" borderId="27" xfId="0" applyFont="1" applyBorder="1" applyAlignment="1" applyProtection="1">
      <alignment horizontal="center" vertical="center" wrapText="1"/>
      <protection hidden="1"/>
    </xf>
    <xf numFmtId="0" fontId="11" fillId="0" borderId="22" xfId="0" applyFont="1" applyBorder="1" applyAlignment="1" applyProtection="1">
      <alignment horizontal="left" vertical="center" wrapText="1"/>
      <protection hidden="1"/>
    </xf>
    <xf numFmtId="0" fontId="11" fillId="0" borderId="23" xfId="0" applyFont="1" applyBorder="1" applyAlignment="1" applyProtection="1">
      <alignment horizontal="left" vertical="center" wrapText="1"/>
      <protection hidden="1"/>
    </xf>
    <xf numFmtId="0" fontId="11" fillId="0" borderId="24" xfId="0" applyFont="1" applyBorder="1" applyAlignment="1" applyProtection="1">
      <alignment horizontal="left" vertical="center" wrapText="1"/>
      <protection hidden="1"/>
    </xf>
    <xf numFmtId="176" fontId="16" fillId="0" borderId="18" xfId="0" applyNumberFormat="1" applyFont="1" applyBorder="1" applyAlignment="1" applyProtection="1">
      <alignment horizontal="right"/>
      <protection hidden="1"/>
    </xf>
    <xf numFmtId="176" fontId="16" fillId="0" borderId="8" xfId="0" applyNumberFormat="1" applyFont="1" applyBorder="1" applyAlignment="1" applyProtection="1">
      <alignment horizontal="right"/>
      <protection hidden="1"/>
    </xf>
    <xf numFmtId="0" fontId="11" fillId="0" borderId="22" xfId="0" applyFont="1" applyBorder="1" applyAlignment="1" applyProtection="1">
      <alignment horizontal="left" vertical="center" wrapText="1"/>
      <protection hidden="1"/>
    </xf>
    <xf numFmtId="3" fontId="21" fillId="17" borderId="16" xfId="0" applyNumberFormat="1" applyFont="1" applyFill="1" applyBorder="1" applyAlignment="1" applyProtection="1">
      <alignment horizontal="left" vertical="center" wrapText="1"/>
      <protection hidden="1"/>
    </xf>
    <xf numFmtId="3" fontId="21" fillId="0" borderId="28" xfId="0" applyNumberFormat="1" applyFont="1" applyBorder="1" applyAlignment="1" applyProtection="1">
      <alignment horizontal="left" vertical="center" wrapText="1"/>
      <protection hidden="1"/>
    </xf>
    <xf numFmtId="0" fontId="22" fillId="0" borderId="0" xfId="0" applyFont="1" applyProtection="1">
      <protection locked="0"/>
    </xf>
    <xf numFmtId="0" fontId="45" fillId="0" borderId="0" xfId="0" applyFont="1"/>
    <xf numFmtId="3" fontId="0" fillId="0" borderId="0" xfId="0" applyNumberFormat="1" applyAlignment="1">
      <alignment horizontal="left" vertical="center"/>
    </xf>
    <xf numFmtId="167" fontId="0" fillId="0" borderId="0" xfId="0" applyNumberFormat="1" applyAlignment="1">
      <alignment horizontal="left" vertical="top" wrapText="1"/>
    </xf>
    <xf numFmtId="167" fontId="0" fillId="0" borderId="0" xfId="0" applyNumberFormat="1" applyAlignment="1">
      <alignment horizontal="left" vertical="top"/>
    </xf>
    <xf numFmtId="0" fontId="0" fillId="0" borderId="0" xfId="0" applyAlignment="1">
      <alignment horizontal="left" vertical="center" wrapText="1"/>
    </xf>
    <xf numFmtId="3" fontId="0" fillId="2" borderId="0" xfId="0" applyNumberFormat="1" applyFill="1" applyAlignment="1">
      <alignment horizontal="left" vertical="center"/>
    </xf>
  </cellXfs>
  <cellStyles count="37">
    <cellStyle name="Normal" xfId="0"/>
    <cellStyle name="Percent" xfId="15"/>
    <cellStyle name="Currency" xfId="16"/>
    <cellStyle name="Currency [0]" xfId="17"/>
    <cellStyle name="Comma" xfId="18"/>
    <cellStyle name="Comma [0]" xfId="19"/>
    <cellStyle name="20 % – Zvýraznění1" xfId="20"/>
    <cellStyle name="20 % – Zvýraznění2" xfId="21"/>
    <cellStyle name="20 % – Zvýraznění3" xfId="22"/>
    <cellStyle name="20 % – Zvýraznění4" xfId="23"/>
    <cellStyle name="20 % – Zvýraznění5" xfId="24"/>
    <cellStyle name="20 % – Zvýraznění6" xfId="25"/>
    <cellStyle name="40 % – Zvýraznění1" xfId="26"/>
    <cellStyle name="40 % – Zvýraznění2" xfId="27"/>
    <cellStyle name="40 % – Zvýraznění3" xfId="28"/>
    <cellStyle name="40 % – Zvýraznění4" xfId="29"/>
    <cellStyle name="40 % – Zvýraznění5" xfId="30"/>
    <cellStyle name="40 % – Zvýraznění6" xfId="31"/>
    <cellStyle name="60 % – Zvýraznění1" xfId="32"/>
    <cellStyle name="60 % – Zvýraznění2" xfId="33"/>
    <cellStyle name="60 % – Zvýraznění3" xfId="34"/>
    <cellStyle name="60 % – Zvýraznění4" xfId="35"/>
    <cellStyle name="60 % – Zvýraznění5" xfId="36"/>
    <cellStyle name="60 % – Zvýraznění6" xfId="37"/>
    <cellStyle name="Celkem" xfId="38"/>
    <cellStyle name="Hypertextový odkaz" xfId="39"/>
    <cellStyle name="Chybně" xfId="40"/>
    <cellStyle name="měny" xfId="41"/>
    <cellStyle name="Název" xfId="42"/>
    <cellStyle name="Normální 2" xfId="43"/>
    <cellStyle name="normální_BRILSTAR" xfId="44"/>
    <cellStyle name="procent" xfId="45"/>
    <cellStyle name="Procenta 2" xfId="46"/>
    <cellStyle name="TableStyleLight1 2" xfId="47"/>
    <cellStyle name="TableStyleLight1 3" xfId="48"/>
    <cellStyle name="TableStyleLight1 4" xfId="49"/>
    <cellStyle name="Text upozornění" xfId="50"/>
  </cellStyles>
  <dxfs count="3">
    <dxf>
      <fill>
        <patternFill patternType="none"/>
      </fill>
      <border>
        <left style="hair">
          <color indexed="8"/>
        </left>
        <right style="hair">
          <color indexed="8"/>
        </right>
        <top style="hair">
          <color indexed="8"/>
        </top>
        <bottom style="hair">
          <color indexed="8"/>
        </bottom>
      </border>
    </dxf>
    <dxf>
      <fill>
        <patternFill patternType="none"/>
      </fill>
      <border>
        <left style="hair">
          <color indexed="8"/>
        </left>
        <right style="hair">
          <color indexed="8"/>
        </right>
        <top style="hair">
          <color indexed="8"/>
        </top>
        <bottom style="hair">
          <color indexed="8"/>
        </bottom>
      </border>
    </dxf>
    <dxf>
      <fill>
        <patternFill patternType="none"/>
      </fill>
      <border>
        <left style="hair">
          <color indexed="8"/>
        </left>
        <right style="hair">
          <color indexed="8"/>
        </right>
        <top style="hair">
          <color indexed="8"/>
        </top>
        <bottom style="hair">
          <color indexed="8"/>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ko.cz/lista-ukoncovaci-l-hlinik-10-mm-250-cm-al10250/p/AL10250?gclid=EAIaIQobChMIsYDCpJ7F6QIVie3tCh0zFQanEAAYAyAAEgKzu_D_BwE" TargetMode="External" /><Relationship Id="rId2" Type="http://schemas.openxmlformats.org/officeDocument/2006/relationships/hyperlink" Target="https://www.siko.cz/lista-ukoncovaci-l-kartacovana-nerez-10-mm-250-cm-nrzk10250/p/NRZK10250" TargetMode="External" /><Relationship Id="rId3" Type="http://schemas.openxmlformats.org/officeDocument/2006/relationships/hyperlink" Target="https://online.ferona.cz/detail/22304/profil-rovnoramenny-l-z-konstrukcni-oceli-valcovane-za-tepla-en-10056-l-50x50x4" TargetMode="External" /><Relationship Id="rId4" Type="http://schemas.openxmlformats.org/officeDocument/2006/relationships/hyperlink" Target="https://www.floorwood.cz/prechodova-lista-sroubovaci-obla-stribrna-e01/" TargetMode="External" /><Relationship Id="rId5" Type="http://schemas.openxmlformats.org/officeDocument/2006/relationships/hyperlink" Target="https://ok-levne.cz/hl138-podomitkovy-sifon-ke-klimatizacnim-jednotkam-dn32-100x100mm.html" TargetMode="External" /><Relationship Id="rId6" Type="http://schemas.openxmlformats.org/officeDocument/2006/relationships/hyperlink" Target="https://www.siko.cz/umyvadlo-jika-lyra-plus-60x49-cm-otvor-pro-baterii-uprostred-h8143830001041/p/1438.3.000.104.1" TargetMode="External" /><Relationship Id="rId7" Type="http://schemas.openxmlformats.org/officeDocument/2006/relationships/hyperlink" Target="https://www.ravak.cz/cz/sprchove-dvere-brilliant-bsd2~1" TargetMode="External" /><Relationship Id="rId8" Type="http://schemas.openxmlformats.org/officeDocument/2006/relationships/hyperlink" Target="https://www.svet-koupelny.cz/keramia-fresh/zoja-keramia-fresh-galerka-s-halogenovym-osvetlenim-60x60x14cm-dub-platin-lev-45027/aqualine/" TargetMode="External" /><Relationship Id="rId9" Type="http://schemas.openxmlformats.org/officeDocument/2006/relationships/hyperlink" Target="https://www.datart.cz/Vestavna-trouba-MORA-VT-433-BW.html?gclid=EAIaIQobChMIpMnpia_H6QIVGofVCh2towCrEAAYASAAEgKGBfD_BwE" TargetMode="External" /><Relationship Id="rId10" Type="http://schemas.openxmlformats.org/officeDocument/2006/relationships/hyperlink" Target="https://www.mall.cz/plynove-varne-desky/concept-pdv7460bc?gclid=EAIaIQobChMI0evMsq_H6QIVgYxRCh0KAAVIEAAYASAAEgLB8fD_BwE" TargetMode="External" /><Relationship Id="rId11" Type="http://schemas.openxmlformats.org/officeDocument/2006/relationships/hyperlink" Target="https://www.ventishop.cz/ventilator-do-potrubi-tt-125/" TargetMode="External" /><Relationship Id="rId12" Type="http://schemas.openxmlformats.org/officeDocument/2006/relationships/hyperlink" Target="https://www.heatshop.cz/Elektricka-topna-patrona-300W-termostat-d743.htm" TargetMode="Externa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3:X588"/>
  <sheetViews>
    <sheetView showGridLines="0" tabSelected="1" zoomScaleSheetLayoutView="100" workbookViewId="0" topLeftCell="A82">
      <selection activeCell="J87" sqref="J87"/>
    </sheetView>
  </sheetViews>
  <sheetFormatPr defaultColWidth="9.00390625" defaultRowHeight="12.75"/>
  <cols>
    <col min="1" max="1" width="4.375" style="27" customWidth="1"/>
    <col min="2" max="2" width="17.00390625" style="28" customWidth="1"/>
    <col min="3" max="3" width="15.75390625" style="29" customWidth="1"/>
    <col min="4" max="4" width="53.375" style="40" customWidth="1"/>
    <col min="5" max="5" width="7.625" style="31" customWidth="1"/>
    <col min="6" max="6" width="10.625" style="34" customWidth="1"/>
    <col min="7" max="7" width="12.625" style="35" customWidth="1"/>
    <col min="8" max="8" width="15.375" style="31" customWidth="1"/>
    <col min="9" max="9" width="8.75390625" style="36" customWidth="1"/>
    <col min="10" max="10" width="25.75390625" style="296" customWidth="1"/>
    <col min="11" max="11" width="15.125" style="74" hidden="1" customWidth="1"/>
    <col min="12" max="13" width="13.25390625" style="31" hidden="1" customWidth="1"/>
    <col min="14" max="14" width="11.00390625" style="31" hidden="1" customWidth="1"/>
    <col min="15" max="16" width="9.125" style="31" hidden="1" customWidth="1"/>
    <col min="17" max="17" width="11.25390625" style="31" hidden="1" customWidth="1"/>
    <col min="18" max="18" width="9.125" style="31" hidden="1" customWidth="1"/>
    <col min="19" max="19" width="9.125" style="31" customWidth="1"/>
    <col min="20" max="16384" width="9.125" style="31" customWidth="1"/>
  </cols>
  <sheetData>
    <row r="3" spans="4:17" ht="33.75">
      <c r="D3" s="30"/>
      <c r="F3" s="32" t="s">
        <v>385</v>
      </c>
      <c r="G3" s="32" t="s">
        <v>386</v>
      </c>
      <c r="H3" s="32" t="s">
        <v>387</v>
      </c>
      <c r="I3" s="32" t="s">
        <v>272</v>
      </c>
      <c r="J3" s="295" t="s">
        <v>136</v>
      </c>
      <c r="K3" s="33" t="s">
        <v>131</v>
      </c>
      <c r="L3" s="33" t="s">
        <v>132</v>
      </c>
      <c r="M3" s="33" t="s">
        <v>133</v>
      </c>
      <c r="N3" s="33" t="s">
        <v>133</v>
      </c>
      <c r="Q3" s="33" t="s">
        <v>404</v>
      </c>
    </row>
    <row r="4" spans="4:13" ht="12.75">
      <c r="D4" s="30"/>
      <c r="K4" s="38"/>
      <c r="L4" s="38"/>
      <c r="M4" s="39"/>
    </row>
    <row r="5" spans="11:13" ht="12.75">
      <c r="K5" s="38"/>
      <c r="L5" s="38"/>
      <c r="M5" s="39"/>
    </row>
    <row r="6" spans="4:13" ht="51.75" customHeight="1">
      <c r="D6" s="327" t="s">
        <v>931</v>
      </c>
      <c r="E6" s="328"/>
      <c r="F6" s="328"/>
      <c r="G6" s="328"/>
      <c r="H6" s="329"/>
      <c r="K6" s="38"/>
      <c r="L6" s="38"/>
      <c r="M6" s="39"/>
    </row>
    <row r="7" spans="4:13" ht="37.5" customHeight="1">
      <c r="D7" s="330" t="s">
        <v>121</v>
      </c>
      <c r="E7" s="331"/>
      <c r="F7" s="331"/>
      <c r="G7" s="331"/>
      <c r="H7" s="332"/>
      <c r="K7" s="38"/>
      <c r="L7" s="38"/>
      <c r="M7" s="39"/>
    </row>
    <row r="8" spans="2:13" ht="37.5" customHeight="1">
      <c r="B8" s="311"/>
      <c r="D8" s="335" t="s">
        <v>987</v>
      </c>
      <c r="E8" s="331"/>
      <c r="F8" s="331"/>
      <c r="G8" s="331"/>
      <c r="H8" s="332"/>
      <c r="K8" s="38"/>
      <c r="L8" s="38"/>
      <c r="M8" s="39"/>
    </row>
    <row r="9" spans="2:13" ht="37.5" customHeight="1">
      <c r="B9" s="311"/>
      <c r="D9" s="313" t="s">
        <v>993</v>
      </c>
      <c r="E9" s="314"/>
      <c r="F9" s="314"/>
      <c r="G9" s="314"/>
      <c r="H9" s="315"/>
      <c r="K9" s="38"/>
      <c r="L9" s="38"/>
      <c r="M9" s="39"/>
    </row>
    <row r="10" spans="2:13" ht="23.25">
      <c r="B10" s="311"/>
      <c r="D10" s="41" t="s">
        <v>388</v>
      </c>
      <c r="E10" s="42"/>
      <c r="F10" s="43"/>
      <c r="G10" s="44"/>
      <c r="H10" s="312" t="s">
        <v>988</v>
      </c>
      <c r="K10" s="38"/>
      <c r="L10" s="38"/>
      <c r="M10" s="39"/>
    </row>
    <row r="11" spans="11:13" ht="12.75">
      <c r="K11" s="38"/>
      <c r="L11" s="38"/>
      <c r="M11" s="39"/>
    </row>
    <row r="12" spans="11:13" ht="12.75">
      <c r="K12" s="45"/>
      <c r="L12" s="45"/>
      <c r="M12" s="39"/>
    </row>
    <row r="13" spans="1:14" s="45" customFormat="1" ht="16.5">
      <c r="A13" s="46"/>
      <c r="B13" s="47"/>
      <c r="C13" s="48">
        <v>1</v>
      </c>
      <c r="D13" s="49" t="str">
        <f>Kapitola_1</f>
        <v>Přípravné a bourací práce</v>
      </c>
      <c r="E13" s="50"/>
      <c r="F13" s="51"/>
      <c r="G13" s="52"/>
      <c r="H13" s="52">
        <f>+Cena_1</f>
        <v>0</v>
      </c>
      <c r="I13" s="53"/>
      <c r="J13" s="297"/>
      <c r="K13" s="54">
        <f>SUMIF(I$112:I$147,"O",H$112:H$147)</f>
        <v>0</v>
      </c>
      <c r="L13" s="54">
        <f>SUMIF(I$112:I$147,"i",H$112:H$147)</f>
        <v>0</v>
      </c>
      <c r="M13" s="55">
        <f>SUM(K13:L13)</f>
        <v>0</v>
      </c>
      <c r="N13" s="56">
        <f>+H13-M13</f>
        <v>0</v>
      </c>
    </row>
    <row r="14" spans="1:14" s="45" customFormat="1" ht="16.5">
      <c r="A14" s="46"/>
      <c r="B14" s="47"/>
      <c r="C14" s="48">
        <v>2</v>
      </c>
      <c r="D14" s="49" t="str">
        <f>Kapitola_2</f>
        <v>Stavební úpravy bytové jednotky</v>
      </c>
      <c r="E14" s="50"/>
      <c r="F14" s="51"/>
      <c r="G14" s="52"/>
      <c r="H14" s="52">
        <f>SUM(G15:G21)</f>
        <v>0</v>
      </c>
      <c r="I14" s="53"/>
      <c r="J14" s="297"/>
      <c r="N14" s="56"/>
    </row>
    <row r="15" spans="1:14" s="45" customFormat="1" ht="16.5">
      <c r="A15" s="46"/>
      <c r="B15" s="47"/>
      <c r="C15" s="57" t="s">
        <v>9</v>
      </c>
      <c r="D15" s="49" t="str">
        <f>Kapitola_2a</f>
        <v>Stěny a příčky</v>
      </c>
      <c r="E15" s="50"/>
      <c r="F15" s="51"/>
      <c r="G15" s="52">
        <f>+Cena_2a</f>
        <v>0</v>
      </c>
      <c r="H15" s="52"/>
      <c r="I15" s="53"/>
      <c r="J15" s="297"/>
      <c r="K15" s="54">
        <f>SUMIF(I$152:I$177,"O",H$152:H$177)</f>
        <v>0</v>
      </c>
      <c r="L15" s="54">
        <f>SUMIF(I$152:I$177,"i",H$152:H$177)</f>
        <v>0</v>
      </c>
      <c r="M15" s="55">
        <f aca="true" t="shared" si="0" ref="M15:M21">SUM(K15:L15)</f>
        <v>0</v>
      </c>
      <c r="N15" s="56">
        <f aca="true" t="shared" si="1" ref="N15:N21">+G15-M15</f>
        <v>0</v>
      </c>
    </row>
    <row r="16" spans="1:14" s="45" customFormat="1" ht="16.5">
      <c r="A16" s="46"/>
      <c r="B16" s="47"/>
      <c r="C16" s="57" t="s">
        <v>10</v>
      </c>
      <c r="D16" s="49" t="str">
        <f>Kapitola_2b</f>
        <v>Stropy a stropní konstrukce a podhledy</v>
      </c>
      <c r="E16" s="50"/>
      <c r="F16" s="51"/>
      <c r="G16" s="52">
        <f>+Cena_2b</f>
        <v>0</v>
      </c>
      <c r="H16" s="52"/>
      <c r="I16" s="53"/>
      <c r="J16" s="297"/>
      <c r="K16" s="54">
        <f>SUMIF(I$182:I$199,"O",H$182:H$199)</f>
        <v>0</v>
      </c>
      <c r="L16" s="54">
        <f>SUMIF(I$182:I$199,"i",H$182:H$199)</f>
        <v>0</v>
      </c>
      <c r="M16" s="55">
        <f t="shared" si="0"/>
        <v>0</v>
      </c>
      <c r="N16" s="56">
        <f t="shared" si="1"/>
        <v>0</v>
      </c>
    </row>
    <row r="17" spans="1:14" s="45" customFormat="1" ht="16.5">
      <c r="A17" s="46"/>
      <c r="B17" s="47"/>
      <c r="C17" s="57" t="s">
        <v>11</v>
      </c>
      <c r="D17" s="49" t="str">
        <f>Kapitola_2c</f>
        <v>Úpravy povrchů vnitřní (stěny, stropy)</v>
      </c>
      <c r="E17" s="50"/>
      <c r="F17" s="51"/>
      <c r="G17" s="52">
        <f>+Cena_2c</f>
        <v>0</v>
      </c>
      <c r="H17" s="52"/>
      <c r="I17" s="53"/>
      <c r="J17" s="297"/>
      <c r="K17" s="54">
        <f>SUMIF(I$204:I$292,"O",H$204:H$292)</f>
        <v>0</v>
      </c>
      <c r="L17" s="54">
        <f>SUMIF(I$204:I$292,"i",H$204:H$292)</f>
        <v>0</v>
      </c>
      <c r="M17" s="55">
        <f t="shared" si="0"/>
        <v>0</v>
      </c>
      <c r="N17" s="56">
        <f t="shared" si="1"/>
        <v>0</v>
      </c>
    </row>
    <row r="18" spans="1:14" s="45" customFormat="1" ht="16.5">
      <c r="A18" s="46"/>
      <c r="B18" s="47"/>
      <c r="C18" s="58" t="s">
        <v>12</v>
      </c>
      <c r="D18" s="49" t="str">
        <f>Kapitola_2j</f>
        <v>Konstrukce truhlářské</v>
      </c>
      <c r="E18" s="50"/>
      <c r="F18" s="51"/>
      <c r="G18" s="52">
        <f>+Cena_2j</f>
        <v>0</v>
      </c>
      <c r="H18" s="52"/>
      <c r="I18" s="53"/>
      <c r="J18" s="297"/>
      <c r="K18" s="54">
        <f>SUMIF(I$297:I$319,"O",H$297:H$319)</f>
        <v>0</v>
      </c>
      <c r="L18" s="54">
        <f>SUMIF(I$297:I$319,"i",H$297:H$319)</f>
        <v>0</v>
      </c>
      <c r="M18" s="55">
        <f t="shared" si="0"/>
        <v>0</v>
      </c>
      <c r="N18" s="56">
        <f t="shared" si="1"/>
        <v>0</v>
      </c>
    </row>
    <row r="19" spans="1:14" s="45" customFormat="1" ht="16.5">
      <c r="A19" s="46"/>
      <c r="B19" s="47"/>
      <c r="C19" s="58" t="s">
        <v>13</v>
      </c>
      <c r="D19" s="49" t="str">
        <f>Kapitola_2k</f>
        <v>Konstrukce zámečnické</v>
      </c>
      <c r="E19" s="50"/>
      <c r="F19" s="51"/>
      <c r="G19" s="52">
        <f>+Cena_2k</f>
        <v>0</v>
      </c>
      <c r="H19" s="52"/>
      <c r="I19" s="53"/>
      <c r="J19" s="297"/>
      <c r="K19" s="54">
        <f>SUMIF(I$324:I$328,"O",H$324:H$328)</f>
        <v>0</v>
      </c>
      <c r="L19" s="54">
        <f>SUMIF(I$324:I$328,"i",H$324:H$328)</f>
        <v>0</v>
      </c>
      <c r="M19" s="55">
        <f t="shared" si="0"/>
        <v>0</v>
      </c>
      <c r="N19" s="56">
        <f t="shared" si="1"/>
        <v>0</v>
      </c>
    </row>
    <row r="20" spans="1:14" s="45" customFormat="1" ht="16.5">
      <c r="A20" s="46"/>
      <c r="B20" s="47"/>
      <c r="C20" s="58" t="s">
        <v>14</v>
      </c>
      <c r="D20" s="49" t="str">
        <f>Kapitola_2l</f>
        <v>Podlahy z dlaždic</v>
      </c>
      <c r="E20" s="50"/>
      <c r="F20" s="51"/>
      <c r="G20" s="52">
        <f>+Cena_2l</f>
        <v>0</v>
      </c>
      <c r="H20" s="52"/>
      <c r="I20" s="53"/>
      <c r="J20" s="297"/>
      <c r="K20" s="54">
        <f>SUMIF(I$333:I$356,"O",H$333:H$356)</f>
        <v>0</v>
      </c>
      <c r="L20" s="54">
        <f>SUMIF(I$333:I$356,"i",H$333:H$356)</f>
        <v>0</v>
      </c>
      <c r="M20" s="55">
        <f t="shared" si="0"/>
        <v>0</v>
      </c>
      <c r="N20" s="56">
        <f t="shared" si="1"/>
        <v>0</v>
      </c>
    </row>
    <row r="21" spans="1:14" s="45" customFormat="1" ht="16.5">
      <c r="A21" s="46"/>
      <c r="B21" s="47"/>
      <c r="C21" s="58" t="s">
        <v>15</v>
      </c>
      <c r="D21" s="49" t="str">
        <f>Kapitola_2m</f>
        <v>Podlahy dřevěné a povlakové</v>
      </c>
      <c r="E21" s="50"/>
      <c r="F21" s="51"/>
      <c r="G21" s="52">
        <f>+Cena_2m</f>
        <v>0</v>
      </c>
      <c r="H21" s="52"/>
      <c r="I21" s="53"/>
      <c r="J21" s="297"/>
      <c r="K21" s="54">
        <f>SUMIF(I$361:I$376,"O",H$361:H$376)</f>
        <v>0</v>
      </c>
      <c r="L21" s="54">
        <f>SUMIF(I$361:I$376,"i",H$361:H$376)</f>
        <v>0</v>
      </c>
      <c r="M21" s="55">
        <f t="shared" si="0"/>
        <v>0</v>
      </c>
      <c r="N21" s="56">
        <f t="shared" si="1"/>
        <v>0</v>
      </c>
    </row>
    <row r="22" spans="1:14" s="45" customFormat="1" ht="16.5">
      <c r="A22" s="46"/>
      <c r="B22" s="47"/>
      <c r="C22" s="48">
        <v>3</v>
      </c>
      <c r="D22" s="59" t="s">
        <v>295</v>
      </c>
      <c r="E22" s="50"/>
      <c r="F22" s="51"/>
      <c r="G22" s="52"/>
      <c r="H22" s="52">
        <f>SUM(G23:G29)</f>
        <v>0</v>
      </c>
      <c r="I22" s="53"/>
      <c r="J22" s="297"/>
      <c r="K22" s="54"/>
      <c r="L22" s="54"/>
      <c r="M22" s="55"/>
      <c r="N22" s="56"/>
    </row>
    <row r="23" spans="1:14" s="45" customFormat="1" ht="16.5">
      <c r="A23" s="46"/>
      <c r="B23" s="47"/>
      <c r="C23" s="57" t="s">
        <v>282</v>
      </c>
      <c r="D23" s="49" t="str">
        <f>+D379</f>
        <v>Zdravotechnika - demontáže</v>
      </c>
      <c r="E23" s="50"/>
      <c r="F23" s="51"/>
      <c r="G23" s="52">
        <f>+H396</f>
        <v>0</v>
      </c>
      <c r="H23" s="52"/>
      <c r="I23" s="53"/>
      <c r="J23" s="297"/>
      <c r="K23" s="54">
        <f>SUMIF(I$380:I$395,"O",H$380:H$395)</f>
        <v>0</v>
      </c>
      <c r="L23" s="54">
        <f>SUMIF(I$380:I$395,"i",H$380:H$395)</f>
        <v>0</v>
      </c>
      <c r="M23" s="55">
        <f aca="true" t="shared" si="2" ref="M23:M32">SUM(K23:L23)</f>
        <v>0</v>
      </c>
      <c r="N23" s="56">
        <f aca="true" t="shared" si="3" ref="N23:N29">+G23-M23</f>
        <v>0</v>
      </c>
    </row>
    <row r="24" spans="1:14" s="45" customFormat="1" ht="16.5">
      <c r="A24" s="46"/>
      <c r="B24" s="47"/>
      <c r="C24" s="57" t="s">
        <v>289</v>
      </c>
      <c r="D24" s="49" t="str">
        <f>Kapitola_2d</f>
        <v>Zdravotechnika - vnitřní kanalizace</v>
      </c>
      <c r="E24" s="50"/>
      <c r="F24" s="51"/>
      <c r="G24" s="52">
        <f>+Cena_2d</f>
        <v>0</v>
      </c>
      <c r="H24" s="52"/>
      <c r="I24" s="53"/>
      <c r="J24" s="297"/>
      <c r="K24" s="54">
        <f>SUMIF(I$400:I$413,"O",H$400:H$413)</f>
        <v>0</v>
      </c>
      <c r="L24" s="54">
        <f>SUMIF(I$400:I$413,"i",H$400:H$413)</f>
        <v>0</v>
      </c>
      <c r="M24" s="55">
        <f t="shared" si="2"/>
        <v>0</v>
      </c>
      <c r="N24" s="56">
        <f t="shared" si="3"/>
        <v>0</v>
      </c>
    </row>
    <row r="25" spans="1:14" s="45" customFormat="1" ht="16.5">
      <c r="A25" s="46"/>
      <c r="B25" s="47"/>
      <c r="C25" s="57" t="s">
        <v>290</v>
      </c>
      <c r="D25" s="49" t="str">
        <f>Kapitola_2e</f>
        <v>Zdravotechnika - vnitřní vodovod</v>
      </c>
      <c r="E25" s="50"/>
      <c r="F25" s="51"/>
      <c r="G25" s="52">
        <f>+Cena_2e</f>
        <v>0</v>
      </c>
      <c r="H25" s="52"/>
      <c r="I25" s="53"/>
      <c r="J25" s="297"/>
      <c r="K25" s="54">
        <f>SUMIF(I$418:I$431,"O",H$418:H$431)</f>
        <v>0</v>
      </c>
      <c r="L25" s="54">
        <f>SUMIF(I$418:I$431,"i",H$418:H$431)</f>
        <v>0</v>
      </c>
      <c r="M25" s="55">
        <f t="shared" si="2"/>
        <v>0</v>
      </c>
      <c r="N25" s="56">
        <f t="shared" si="3"/>
        <v>0</v>
      </c>
    </row>
    <row r="26" spans="1:14" s="45" customFormat="1" ht="16.5">
      <c r="A26" s="46"/>
      <c r="B26" s="47"/>
      <c r="C26" s="57" t="s">
        <v>291</v>
      </c>
      <c r="D26" s="49" t="str">
        <f>Kapitola_2f</f>
        <v xml:space="preserve">Zdravotechnika - zařizovací předměty, armatury </v>
      </c>
      <c r="E26" s="50"/>
      <c r="F26" s="51"/>
      <c r="G26" s="52">
        <f>+Cena_2f</f>
        <v>0</v>
      </c>
      <c r="H26" s="52"/>
      <c r="I26" s="53"/>
      <c r="J26" s="297"/>
      <c r="K26" s="54">
        <f>SUMIF(I$437:I$465,"O",H$437:H$465)</f>
        <v>0</v>
      </c>
      <c r="L26" s="54">
        <f>SUMIF(I$437:I$465,"i",H$437:H$465)</f>
        <v>0</v>
      </c>
      <c r="M26" s="55">
        <f t="shared" si="2"/>
        <v>0</v>
      </c>
      <c r="N26" s="56">
        <f t="shared" si="3"/>
        <v>0</v>
      </c>
    </row>
    <row r="27" spans="1:14" s="45" customFormat="1" ht="16.5">
      <c r="A27" s="46"/>
      <c r="B27" s="47"/>
      <c r="C27" s="57" t="s">
        <v>292</v>
      </c>
      <c r="D27" s="49" t="str">
        <f>Kapitola_2i</f>
        <v>Vzduchotechnika</v>
      </c>
      <c r="E27" s="50"/>
      <c r="F27" s="51"/>
      <c r="G27" s="52">
        <f>+Cena_2i</f>
        <v>0</v>
      </c>
      <c r="H27" s="52"/>
      <c r="I27" s="53"/>
      <c r="J27" s="297"/>
      <c r="K27" s="54">
        <f>SUMIF(I$470:I$491,"O",H$470:H$491)</f>
        <v>0</v>
      </c>
      <c r="L27" s="54">
        <f>SUMIF(I$470:I$491,"i",H$470:H$491)</f>
        <v>0</v>
      </c>
      <c r="M27" s="55">
        <f t="shared" si="2"/>
        <v>0</v>
      </c>
      <c r="N27" s="56">
        <f t="shared" si="3"/>
        <v>0</v>
      </c>
    </row>
    <row r="28" spans="1:14" s="45" customFormat="1" ht="16.5">
      <c r="A28" s="46"/>
      <c r="B28" s="47"/>
      <c r="C28" s="60" t="s">
        <v>293</v>
      </c>
      <c r="D28" s="49" t="str">
        <f>+D494</f>
        <v>Topení</v>
      </c>
      <c r="E28" s="50"/>
      <c r="F28" s="51"/>
      <c r="G28" s="52">
        <f>+H534</f>
        <v>0</v>
      </c>
      <c r="H28" s="52"/>
      <c r="I28" s="53"/>
      <c r="J28" s="297"/>
      <c r="K28" s="54">
        <f>SUMIF(I$496:I$533,"O",H$496:H$533)</f>
        <v>0</v>
      </c>
      <c r="L28" s="54">
        <f>SUMIF(I$496:I$533,"i",H$496:H$533)</f>
        <v>0</v>
      </c>
      <c r="M28" s="55">
        <f t="shared" si="2"/>
        <v>0</v>
      </c>
      <c r="N28" s="56">
        <f t="shared" si="3"/>
        <v>0</v>
      </c>
    </row>
    <row r="29" spans="1:14" s="45" customFormat="1" ht="16.5">
      <c r="A29" s="46"/>
      <c r="B29" s="47"/>
      <c r="C29" s="58" t="s">
        <v>294</v>
      </c>
      <c r="D29" s="49" t="str">
        <f>+D536</f>
        <v>Plyn</v>
      </c>
      <c r="E29" s="50"/>
      <c r="F29" s="51"/>
      <c r="G29" s="52">
        <f>+H571</f>
        <v>0</v>
      </c>
      <c r="H29" s="52"/>
      <c r="I29" s="61"/>
      <c r="J29" s="298"/>
      <c r="K29" s="54">
        <f>SUMIF(I$538:I$570,"O",H$538:H$570)</f>
        <v>0</v>
      </c>
      <c r="L29" s="54">
        <f>SUMIF(I$538:I$570,"i",H$538:H$570)</f>
        <v>0</v>
      </c>
      <c r="M29" s="55">
        <f t="shared" si="2"/>
        <v>0</v>
      </c>
      <c r="N29" s="56">
        <f t="shared" si="3"/>
        <v>0</v>
      </c>
    </row>
    <row r="30" spans="1:14" s="45" customFormat="1" ht="16.5">
      <c r="A30" s="46"/>
      <c r="B30" s="47"/>
      <c r="C30" s="48">
        <v>4</v>
      </c>
      <c r="D30" s="49" t="str">
        <f>Kapitola_2g</f>
        <v xml:space="preserve">Elektroinstalace - silnoproud </v>
      </c>
      <c r="E30" s="50"/>
      <c r="F30" s="51"/>
      <c r="G30" s="52"/>
      <c r="H30" s="52">
        <f>+Cena_2g</f>
        <v>0</v>
      </c>
      <c r="I30" s="53"/>
      <c r="J30" s="297"/>
      <c r="K30" s="54">
        <f>SUMIF(I$575:I$576,"O",H$575:H$576)</f>
        <v>0</v>
      </c>
      <c r="L30" s="54">
        <f>SUMIF(I$575:I$576,"i",H$575:H$576)</f>
        <v>0</v>
      </c>
      <c r="M30" s="55">
        <f t="shared" si="2"/>
        <v>0</v>
      </c>
      <c r="N30" s="56">
        <f>+H30-M30</f>
        <v>0</v>
      </c>
    </row>
    <row r="31" spans="1:14" s="45" customFormat="1" ht="16.5">
      <c r="A31" s="46"/>
      <c r="B31" s="47"/>
      <c r="C31" s="48">
        <v>5</v>
      </c>
      <c r="D31" s="49" t="str">
        <f>Kapitola_2h</f>
        <v>Elektroinstalace - slaboproud</v>
      </c>
      <c r="E31" s="50"/>
      <c r="F31" s="51"/>
      <c r="G31" s="52"/>
      <c r="H31" s="52">
        <f>+Cena_2h</f>
        <v>0</v>
      </c>
      <c r="I31" s="53"/>
      <c r="J31" s="297"/>
      <c r="K31" s="54">
        <f>SUMIF(I$581:I$582,"O",H$581:H$582)</f>
        <v>0</v>
      </c>
      <c r="L31" s="54">
        <f>SUMIF(I$581:I$582,"i",H$581:H$582)</f>
        <v>0</v>
      </c>
      <c r="M31" s="55">
        <f t="shared" si="2"/>
        <v>0</v>
      </c>
      <c r="N31" s="56">
        <f>+H31-M31</f>
        <v>0</v>
      </c>
    </row>
    <row r="32" spans="1:14" s="45" customFormat="1" ht="16.5">
      <c r="A32" s="46"/>
      <c r="B32" s="62"/>
      <c r="C32" s="48">
        <v>6</v>
      </c>
      <c r="D32" s="49" t="str">
        <f>Dokoncovaci_prace</f>
        <v>Dokončovací práce</v>
      </c>
      <c r="E32" s="50"/>
      <c r="F32" s="51"/>
      <c r="G32" s="52"/>
      <c r="H32" s="52">
        <f>Cena_dokoncovaci_prace</f>
        <v>0</v>
      </c>
      <c r="I32" s="53"/>
      <c r="J32" s="297"/>
      <c r="K32" s="54">
        <f>SUMIF(I$586:I$586,"O",H$586:H$586)</f>
        <v>0</v>
      </c>
      <c r="L32" s="54">
        <f>SUMIF(I$586:I$586,"i",H$586:H$586)</f>
        <v>0</v>
      </c>
      <c r="M32" s="55">
        <f t="shared" si="2"/>
        <v>0</v>
      </c>
      <c r="N32" s="56">
        <f>+H32-M32</f>
        <v>0</v>
      </c>
    </row>
    <row r="33" spans="4:13" ht="12.75">
      <c r="D33" s="63"/>
      <c r="E33" s="27"/>
      <c r="F33" s="64"/>
      <c r="G33" s="65"/>
      <c r="H33" s="65"/>
      <c r="K33" s="38"/>
      <c r="L33" s="38"/>
      <c r="M33" s="38"/>
    </row>
    <row r="34" spans="4:13" ht="15" customHeight="1">
      <c r="D34" s="66" t="s">
        <v>389</v>
      </c>
      <c r="E34" s="67"/>
      <c r="F34" s="68"/>
      <c r="G34" s="334">
        <f>SUM(H13:H32)</f>
        <v>0</v>
      </c>
      <c r="H34" s="334"/>
      <c r="K34" s="69">
        <f>SUM(K13:K33)</f>
        <v>0</v>
      </c>
      <c r="L34" s="69">
        <f>SUM(L13:L33)</f>
        <v>0</v>
      </c>
      <c r="M34" s="69">
        <f>SUM(K34:L34)</f>
        <v>0</v>
      </c>
    </row>
    <row r="35" spans="4:8" ht="12.75">
      <c r="D35" s="70"/>
      <c r="E35" s="67"/>
      <c r="F35" s="71"/>
      <c r="G35" s="72"/>
      <c r="H35" s="73"/>
    </row>
    <row r="36" spans="4:20" ht="16.5">
      <c r="D36" s="49" t="s">
        <v>783</v>
      </c>
      <c r="E36" s="67"/>
      <c r="F36" s="71"/>
      <c r="G36" s="75"/>
      <c r="H36" s="76">
        <f>+H108</f>
        <v>0</v>
      </c>
      <c r="T36" s="284"/>
    </row>
    <row r="37" spans="4:8" ht="13.5" thickBot="1">
      <c r="D37" s="77"/>
      <c r="E37" s="78"/>
      <c r="F37" s="79"/>
      <c r="G37" s="80"/>
      <c r="H37" s="65"/>
    </row>
    <row r="38" spans="4:8" ht="15.75" thickBot="1">
      <c r="D38" s="81" t="s">
        <v>105</v>
      </c>
      <c r="E38" s="82"/>
      <c r="F38" s="83"/>
      <c r="G38" s="84"/>
      <c r="H38" s="85">
        <f>+G34+H36</f>
        <v>0</v>
      </c>
    </row>
    <row r="39" spans="4:9" ht="12.75">
      <c r="D39" s="86"/>
      <c r="E39" s="87"/>
      <c r="F39" s="88"/>
      <c r="G39" s="89"/>
      <c r="H39" s="87"/>
      <c r="I39" s="90"/>
    </row>
    <row r="40" spans="4:9" ht="12.75">
      <c r="D40" s="70" t="s">
        <v>390</v>
      </c>
      <c r="E40" s="67"/>
      <c r="F40" s="71"/>
      <c r="G40" s="91">
        <v>0.15</v>
      </c>
      <c r="H40" s="92">
        <f>ROUND((G34+H36)*G40,0)</f>
        <v>0</v>
      </c>
      <c r="I40" s="90"/>
    </row>
    <row r="41" spans="4:8" ht="12.75">
      <c r="D41" s="70" t="s">
        <v>390</v>
      </c>
      <c r="E41" s="67"/>
      <c r="F41" s="71"/>
      <c r="G41" s="91">
        <v>0.21</v>
      </c>
      <c r="H41" s="92"/>
    </row>
    <row r="42" spans="4:8" ht="13.5" thickBot="1">
      <c r="D42" s="93"/>
      <c r="E42" s="94"/>
      <c r="F42" s="95"/>
      <c r="G42" s="96"/>
      <c r="H42" s="94"/>
    </row>
    <row r="43" spans="4:8" ht="16.5" thickBot="1">
      <c r="D43" s="97" t="s">
        <v>391</v>
      </c>
      <c r="E43" s="94"/>
      <c r="F43" s="95"/>
      <c r="G43" s="333">
        <f>G34+H36+H40+H41</f>
        <v>0</v>
      </c>
      <c r="H43" s="333"/>
    </row>
    <row r="46" spans="4:8" ht="15">
      <c r="D46" s="98" t="s">
        <v>784</v>
      </c>
      <c r="E46" s="99"/>
      <c r="F46" s="100"/>
      <c r="G46" s="99"/>
      <c r="H46" s="99"/>
    </row>
    <row r="47" spans="4:9" ht="12.75">
      <c r="D47" s="101" t="s">
        <v>102</v>
      </c>
      <c r="E47" s="102"/>
      <c r="F47" s="100"/>
      <c r="G47" s="99"/>
      <c r="H47" s="103">
        <f>+K34</f>
        <v>0</v>
      </c>
      <c r="I47" s="104" t="e">
        <f>+H47/G34</f>
        <v>#DIV/0!</v>
      </c>
    </row>
    <row r="48" spans="4:9" ht="12.75">
      <c r="D48" s="101" t="s">
        <v>103</v>
      </c>
      <c r="E48" s="102"/>
      <c r="F48" s="100"/>
      <c r="G48" s="99"/>
      <c r="H48" s="103">
        <f>+L34</f>
        <v>0</v>
      </c>
      <c r="I48" s="104" t="e">
        <f>+H48/G34</f>
        <v>#DIV/0!</v>
      </c>
    </row>
    <row r="49" spans="4:8" ht="12.75">
      <c r="D49" s="99"/>
      <c r="E49" s="99"/>
      <c r="F49" s="100"/>
      <c r="G49" s="99"/>
      <c r="H49" s="39"/>
    </row>
    <row r="50" spans="4:8" ht="15">
      <c r="D50" s="98" t="s">
        <v>786</v>
      </c>
      <c r="E50" s="99"/>
      <c r="F50" s="100"/>
      <c r="G50" s="99"/>
      <c r="H50" s="39"/>
    </row>
    <row r="51" spans="4:8" ht="12.75">
      <c r="D51" s="101" t="s">
        <v>102</v>
      </c>
      <c r="E51" s="102"/>
      <c r="F51" s="100"/>
      <c r="G51" s="99"/>
      <c r="H51" s="105" t="e">
        <f>+I47*H36</f>
        <v>#DIV/0!</v>
      </c>
    </row>
    <row r="52" spans="4:8" ht="12.75">
      <c r="D52" s="101" t="s">
        <v>103</v>
      </c>
      <c r="E52" s="102"/>
      <c r="F52" s="100"/>
      <c r="G52" s="99"/>
      <c r="H52" s="105" t="e">
        <f>+I48*H36</f>
        <v>#DIV/0!</v>
      </c>
    </row>
    <row r="53" spans="4:8" ht="12.75">
      <c r="D53" s="99"/>
      <c r="E53" s="99"/>
      <c r="F53" s="100"/>
      <c r="G53" s="99"/>
      <c r="H53" s="39"/>
    </row>
    <row r="54" spans="4:8" ht="15">
      <c r="D54" s="98" t="s">
        <v>785</v>
      </c>
      <c r="E54" s="99"/>
      <c r="F54" s="100"/>
      <c r="G54" s="99"/>
      <c r="H54" s="39"/>
    </row>
    <row r="55" spans="4:9" ht="12.75">
      <c r="D55" s="101" t="s">
        <v>102</v>
      </c>
      <c r="E55" s="102"/>
      <c r="F55" s="100"/>
      <c r="G55" s="99"/>
      <c r="H55" s="103" t="e">
        <f>+H47+H51</f>
        <v>#DIV/0!</v>
      </c>
      <c r="I55" s="104" t="e">
        <f>+H55/H38</f>
        <v>#DIV/0!</v>
      </c>
    </row>
    <row r="56" spans="4:9" ht="12.75">
      <c r="D56" s="101" t="s">
        <v>103</v>
      </c>
      <c r="E56" s="102"/>
      <c r="F56" s="100"/>
      <c r="G56" s="99"/>
      <c r="H56" s="103" t="e">
        <f>+H48+H52</f>
        <v>#DIV/0!</v>
      </c>
      <c r="I56" s="104" t="e">
        <f>+H56/H38</f>
        <v>#DIV/0!</v>
      </c>
    </row>
    <row r="58" spans="4:8" ht="18">
      <c r="D58" s="106" t="s">
        <v>18</v>
      </c>
      <c r="E58" s="27"/>
      <c r="F58" s="64"/>
      <c r="G58" s="107"/>
      <c r="H58" s="27"/>
    </row>
    <row r="59" ht="7.5" customHeight="1"/>
    <row r="60" ht="12.75">
      <c r="D60" s="108" t="s">
        <v>392</v>
      </c>
    </row>
    <row r="61" spans="4:8" ht="12.75">
      <c r="D61" s="109" t="s">
        <v>393</v>
      </c>
      <c r="E61" s="110"/>
      <c r="F61" s="111"/>
      <c r="G61" s="112"/>
      <c r="H61" s="110"/>
    </row>
    <row r="62" spans="4:8" ht="38.25" customHeight="1">
      <c r="D62" s="319" t="s">
        <v>21</v>
      </c>
      <c r="E62" s="320"/>
      <c r="F62" s="320"/>
      <c r="G62" s="320"/>
      <c r="H62" s="320"/>
    </row>
    <row r="63" spans="4:8" ht="12.75">
      <c r="D63" s="317" t="s">
        <v>394</v>
      </c>
      <c r="E63" s="317"/>
      <c r="F63" s="317"/>
      <c r="G63" s="317"/>
      <c r="H63" s="317"/>
    </row>
    <row r="64" spans="4:8" ht="38.25" customHeight="1">
      <c r="D64" s="319" t="s">
        <v>22</v>
      </c>
      <c r="E64" s="320"/>
      <c r="F64" s="320"/>
      <c r="G64" s="320"/>
      <c r="H64" s="320"/>
    </row>
    <row r="65" spans="4:8" ht="25.5" customHeight="1">
      <c r="D65" s="319" t="s">
        <v>23</v>
      </c>
      <c r="E65" s="320"/>
      <c r="F65" s="320"/>
      <c r="G65" s="320"/>
      <c r="H65" s="320"/>
    </row>
    <row r="66" spans="4:8" ht="12.75">
      <c r="D66" s="317" t="s">
        <v>395</v>
      </c>
      <c r="E66" s="317"/>
      <c r="F66" s="317"/>
      <c r="G66" s="317"/>
      <c r="H66" s="317"/>
    </row>
    <row r="67" spans="4:8" ht="12.75" customHeight="1">
      <c r="D67" s="319" t="s">
        <v>24</v>
      </c>
      <c r="E67" s="320"/>
      <c r="F67" s="320"/>
      <c r="G67" s="320"/>
      <c r="H67" s="320"/>
    </row>
    <row r="68" spans="4:8" ht="12.75" customHeight="1">
      <c r="D68" s="319" t="s">
        <v>25</v>
      </c>
      <c r="E68" s="320"/>
      <c r="F68" s="320"/>
      <c r="G68" s="320"/>
      <c r="H68" s="320"/>
    </row>
    <row r="69" spans="4:8" ht="39" customHeight="1">
      <c r="D69" s="323" t="s">
        <v>4</v>
      </c>
      <c r="E69" s="324"/>
      <c r="F69" s="324"/>
      <c r="G69" s="324"/>
      <c r="H69" s="324"/>
    </row>
    <row r="70" spans="1:11" s="118" customFormat="1" ht="9.75">
      <c r="A70" s="114"/>
      <c r="B70" s="115"/>
      <c r="C70" s="116"/>
      <c r="D70" s="117"/>
      <c r="F70" s="119"/>
      <c r="G70" s="120"/>
      <c r="I70" s="121"/>
      <c r="J70" s="299"/>
      <c r="K70" s="122"/>
    </row>
    <row r="71" spans="4:8" ht="38.85" customHeight="1">
      <c r="D71" s="320" t="s">
        <v>396</v>
      </c>
      <c r="E71" s="320"/>
      <c r="F71" s="320"/>
      <c r="G71" s="320"/>
      <c r="H71" s="320"/>
    </row>
    <row r="72" spans="1:11" s="118" customFormat="1" ht="7.5" customHeight="1">
      <c r="A72" s="114"/>
      <c r="B72" s="115"/>
      <c r="C72" s="116"/>
      <c r="D72" s="113"/>
      <c r="E72" s="113"/>
      <c r="F72" s="123"/>
      <c r="G72" s="113"/>
      <c r="H72" s="113"/>
      <c r="I72" s="121"/>
      <c r="J72" s="299"/>
      <c r="K72" s="122"/>
    </row>
    <row r="73" spans="4:8" ht="27.75" customHeight="1">
      <c r="D73" s="320" t="s">
        <v>397</v>
      </c>
      <c r="E73" s="320"/>
      <c r="F73" s="320"/>
      <c r="G73" s="320"/>
      <c r="H73" s="320"/>
    </row>
    <row r="74" spans="4:8" ht="26.25" customHeight="1">
      <c r="D74" s="113" t="s">
        <v>398</v>
      </c>
      <c r="E74" s="113"/>
      <c r="F74" s="123"/>
      <c r="G74" s="113"/>
      <c r="H74" s="113"/>
    </row>
    <row r="75" spans="4:8" ht="15.75" customHeight="1">
      <c r="D75" s="319" t="s">
        <v>19</v>
      </c>
      <c r="E75" s="319"/>
      <c r="F75" s="319"/>
      <c r="G75" s="319"/>
      <c r="H75" s="319"/>
    </row>
    <row r="76" spans="4:8" ht="93" customHeight="1">
      <c r="D76" s="326" t="s">
        <v>0</v>
      </c>
      <c r="E76" s="326"/>
      <c r="F76" s="326"/>
      <c r="G76" s="326"/>
      <c r="H76" s="326"/>
    </row>
    <row r="77" spans="5:8" ht="12.75">
      <c r="E77" s="124"/>
      <c r="F77" s="125"/>
      <c r="G77" s="126"/>
      <c r="H77" s="124"/>
    </row>
    <row r="78" spans="4:8" ht="18.75" customHeight="1">
      <c r="D78" s="316" t="s">
        <v>7</v>
      </c>
      <c r="E78" s="318"/>
      <c r="F78" s="318"/>
      <c r="G78" s="318"/>
      <c r="H78" s="318"/>
    </row>
    <row r="79" spans="1:8" ht="14.25" customHeight="1">
      <c r="A79" s="127"/>
      <c r="B79" s="128"/>
      <c r="C79" s="129"/>
      <c r="D79" s="316" t="s">
        <v>6</v>
      </c>
      <c r="E79" s="318"/>
      <c r="F79" s="318"/>
      <c r="G79" s="318"/>
      <c r="H79" s="318"/>
    </row>
    <row r="80" spans="1:8" ht="14.25" customHeight="1">
      <c r="A80" s="127"/>
      <c r="B80" s="128"/>
      <c r="C80" s="129"/>
      <c r="D80" s="130"/>
      <c r="E80" s="131"/>
      <c r="F80" s="131"/>
      <c r="G80" s="131"/>
      <c r="H80" s="132"/>
    </row>
    <row r="81" spans="1:8" ht="14.25" customHeight="1">
      <c r="A81" s="127"/>
      <c r="B81" s="128"/>
      <c r="C81" s="129"/>
      <c r="D81" s="130"/>
      <c r="E81" s="131"/>
      <c r="F81" s="131"/>
      <c r="G81" s="131"/>
      <c r="H81" s="133"/>
    </row>
    <row r="82" spans="1:11" ht="27.75" customHeight="1">
      <c r="A82" s="127"/>
      <c r="B82" s="134"/>
      <c r="C82" s="135"/>
      <c r="D82" s="136" t="s">
        <v>754</v>
      </c>
      <c r="E82" s="137"/>
      <c r="F82" s="138"/>
      <c r="G82" s="139"/>
      <c r="H82" s="140"/>
      <c r="I82" s="31"/>
      <c r="J82" s="300"/>
      <c r="K82" s="31"/>
    </row>
    <row r="83" spans="1:11" ht="14.25" customHeight="1">
      <c r="A83" s="127"/>
      <c r="B83" s="134"/>
      <c r="C83" s="99"/>
      <c r="D83" s="99"/>
      <c r="E83" s="99"/>
      <c r="F83" s="99"/>
      <c r="G83" s="99"/>
      <c r="H83" s="99"/>
      <c r="I83" s="31"/>
      <c r="J83" s="300"/>
      <c r="K83" s="31"/>
    </row>
    <row r="84" spans="1:11" ht="14.25" customHeight="1">
      <c r="A84" s="127"/>
      <c r="B84" s="134"/>
      <c r="C84" s="141"/>
      <c r="D84" s="142" t="s">
        <v>754</v>
      </c>
      <c r="E84" s="143" t="s">
        <v>755</v>
      </c>
      <c r="F84" s="144" t="s">
        <v>756</v>
      </c>
      <c r="G84" s="145" t="s">
        <v>757</v>
      </c>
      <c r="H84" s="145" t="s">
        <v>758</v>
      </c>
      <c r="I84" s="31"/>
      <c r="J84" s="301" t="s">
        <v>984</v>
      </c>
      <c r="K84" s="31"/>
    </row>
    <row r="85" spans="1:11" ht="14.25" customHeight="1">
      <c r="A85" s="127"/>
      <c r="B85" s="134"/>
      <c r="C85" s="141" t="s">
        <v>759</v>
      </c>
      <c r="D85" s="146" t="s">
        <v>760</v>
      </c>
      <c r="E85" s="147"/>
      <c r="F85" s="148"/>
      <c r="G85" s="149"/>
      <c r="H85" s="149"/>
      <c r="I85" s="31"/>
      <c r="J85" s="300"/>
      <c r="K85" s="31"/>
    </row>
    <row r="86" spans="1:11" ht="23.25" customHeight="1">
      <c r="A86" s="127"/>
      <c r="B86" s="150">
        <f>B85+1</f>
        <v>1</v>
      </c>
      <c r="C86" s="151"/>
      <c r="D86" s="152" t="s">
        <v>81</v>
      </c>
      <c r="E86" s="153" t="s">
        <v>399</v>
      </c>
      <c r="F86" s="5">
        <v>1</v>
      </c>
      <c r="G86" s="285"/>
      <c r="H86" s="155">
        <f>F86*G86</f>
        <v>0</v>
      </c>
      <c r="I86" s="31"/>
      <c r="J86" s="300"/>
      <c r="K86" s="31"/>
    </row>
    <row r="87" spans="1:11" ht="14.25" customHeight="1">
      <c r="A87" s="127"/>
      <c r="B87" s="150"/>
      <c r="C87" s="141" t="s">
        <v>761</v>
      </c>
      <c r="D87" s="146" t="s">
        <v>762</v>
      </c>
      <c r="E87" s="147"/>
      <c r="F87" s="148"/>
      <c r="G87" s="149"/>
      <c r="H87" s="149"/>
      <c r="I87" s="31"/>
      <c r="J87" s="300"/>
      <c r="K87" s="31"/>
    </row>
    <row r="88" spans="1:11" ht="14.25" customHeight="1">
      <c r="A88" s="127"/>
      <c r="B88" s="150">
        <f>B86+1</f>
        <v>2</v>
      </c>
      <c r="C88" s="151"/>
      <c r="D88" s="152" t="s">
        <v>763</v>
      </c>
      <c r="E88" s="153" t="s">
        <v>399</v>
      </c>
      <c r="F88" s="5">
        <v>1</v>
      </c>
      <c r="G88" s="285"/>
      <c r="H88" s="155">
        <f>F88*G88</f>
        <v>0</v>
      </c>
      <c r="I88" s="31"/>
      <c r="J88" s="300"/>
      <c r="K88" s="31"/>
    </row>
    <row r="89" spans="1:11" ht="151.5" customHeight="1">
      <c r="A89" s="127"/>
      <c r="B89" s="134"/>
      <c r="C89" s="135"/>
      <c r="D89" s="322" t="s">
        <v>781</v>
      </c>
      <c r="E89" s="322"/>
      <c r="F89" s="322"/>
      <c r="G89" s="322"/>
      <c r="H89" s="322"/>
      <c r="I89" s="31"/>
      <c r="J89" s="300"/>
      <c r="K89" s="31"/>
    </row>
    <row r="90" spans="1:11" ht="14.25" customHeight="1">
      <c r="A90" s="127"/>
      <c r="B90" s="134"/>
      <c r="C90" s="135"/>
      <c r="D90" s="156"/>
      <c r="E90" s="157"/>
      <c r="F90" s="158"/>
      <c r="G90" s="159"/>
      <c r="H90" s="160"/>
      <c r="I90" s="31"/>
      <c r="J90" s="300"/>
      <c r="K90" s="31"/>
    </row>
    <row r="91" spans="1:11" ht="14.25" customHeight="1">
      <c r="A91" s="127"/>
      <c r="B91" s="134"/>
      <c r="C91" s="141" t="s">
        <v>764</v>
      </c>
      <c r="D91" s="146" t="s">
        <v>765</v>
      </c>
      <c r="E91" s="147"/>
      <c r="F91" s="148"/>
      <c r="G91" s="149"/>
      <c r="H91" s="149"/>
      <c r="I91" s="31"/>
      <c r="J91" s="300"/>
      <c r="K91" s="31"/>
    </row>
    <row r="92" spans="1:11" ht="38.25">
      <c r="A92" s="127"/>
      <c r="B92" s="150">
        <f>B88+1</f>
        <v>3</v>
      </c>
      <c r="C92" s="151"/>
      <c r="D92" s="152" t="s">
        <v>766</v>
      </c>
      <c r="E92" s="153" t="s">
        <v>399</v>
      </c>
      <c r="F92" s="5">
        <v>1</v>
      </c>
      <c r="G92" s="285"/>
      <c r="H92" s="155">
        <f>F92*G92</f>
        <v>0</v>
      </c>
      <c r="I92" s="31"/>
      <c r="J92" s="300"/>
      <c r="K92" s="31"/>
    </row>
    <row r="93" spans="1:11" ht="172.5" customHeight="1">
      <c r="A93" s="127"/>
      <c r="B93" s="134"/>
      <c r="C93" s="135"/>
      <c r="D93" s="325" t="s">
        <v>930</v>
      </c>
      <c r="E93" s="325"/>
      <c r="F93" s="325"/>
      <c r="G93" s="325"/>
      <c r="H93" s="325"/>
      <c r="I93" s="31"/>
      <c r="J93" s="300"/>
      <c r="K93" s="31"/>
    </row>
    <row r="94" spans="1:11" ht="14.25" customHeight="1">
      <c r="A94" s="127"/>
      <c r="B94" s="134"/>
      <c r="C94" s="135"/>
      <c r="D94" s="161"/>
      <c r="E94" s="157"/>
      <c r="F94" s="158"/>
      <c r="G94" s="159"/>
      <c r="H94" s="160"/>
      <c r="I94" s="31"/>
      <c r="J94" s="300"/>
      <c r="K94" s="31"/>
    </row>
    <row r="95" spans="1:11" ht="14.25" customHeight="1">
      <c r="A95" s="127"/>
      <c r="B95" s="134"/>
      <c r="C95" s="141" t="s">
        <v>767</v>
      </c>
      <c r="D95" s="146" t="s">
        <v>768</v>
      </c>
      <c r="E95" s="147"/>
      <c r="F95" s="148"/>
      <c r="G95" s="149"/>
      <c r="H95" s="149"/>
      <c r="I95" s="31"/>
      <c r="J95" s="300"/>
      <c r="K95" s="31"/>
    </row>
    <row r="96" spans="1:11" ht="51" hidden="1">
      <c r="A96" s="127"/>
      <c r="B96" s="150"/>
      <c r="C96" s="151"/>
      <c r="D96" s="152" t="s">
        <v>769</v>
      </c>
      <c r="E96" s="153" t="s">
        <v>399</v>
      </c>
      <c r="F96" s="5">
        <v>1</v>
      </c>
      <c r="G96" s="154"/>
      <c r="H96" s="155">
        <f>F96*G96</f>
        <v>0</v>
      </c>
      <c r="I96" s="31"/>
      <c r="J96" s="300"/>
      <c r="K96" s="31"/>
    </row>
    <row r="97" spans="1:11" ht="76.5">
      <c r="A97" s="127"/>
      <c r="B97" s="150">
        <f>B92+1</f>
        <v>4</v>
      </c>
      <c r="C97" s="151"/>
      <c r="D97" s="152" t="s">
        <v>782</v>
      </c>
      <c r="E97" s="153" t="s">
        <v>399</v>
      </c>
      <c r="F97" s="5">
        <v>1</v>
      </c>
      <c r="G97" s="285"/>
      <c r="H97" s="155">
        <f>F97*G97</f>
        <v>0</v>
      </c>
      <c r="I97" s="31"/>
      <c r="J97" s="300"/>
      <c r="K97" s="31"/>
    </row>
    <row r="98" spans="1:8" ht="25.5" hidden="1">
      <c r="A98" s="127"/>
      <c r="B98" s="150"/>
      <c r="C98" s="151"/>
      <c r="D98" s="152" t="s">
        <v>770</v>
      </c>
      <c r="E98" s="153" t="s">
        <v>399</v>
      </c>
      <c r="F98" s="5">
        <v>1</v>
      </c>
      <c r="G98" s="154"/>
      <c r="H98" s="155">
        <f>F98*G98</f>
        <v>0</v>
      </c>
    </row>
    <row r="99" spans="1:8" ht="14.25" customHeight="1">
      <c r="A99" s="127"/>
      <c r="B99" s="134"/>
      <c r="C99" s="141" t="s">
        <v>771</v>
      </c>
      <c r="D99" s="146" t="s">
        <v>772</v>
      </c>
      <c r="E99" s="147"/>
      <c r="F99" s="148"/>
      <c r="G99" s="149"/>
      <c r="H99" s="149"/>
    </row>
    <row r="100" spans="1:8" ht="76.5">
      <c r="A100" s="127"/>
      <c r="B100" s="150">
        <f>+B97+1</f>
        <v>5</v>
      </c>
      <c r="C100" s="151"/>
      <c r="D100" s="152" t="s">
        <v>780</v>
      </c>
      <c r="E100" s="153" t="s">
        <v>399</v>
      </c>
      <c r="F100" s="5">
        <v>1</v>
      </c>
      <c r="G100" s="285"/>
      <c r="H100" s="155">
        <f>F100*G100</f>
        <v>0</v>
      </c>
    </row>
    <row r="101" spans="1:8" ht="14.25" customHeight="1">
      <c r="A101" s="127"/>
      <c r="B101" s="134"/>
      <c r="C101" s="141" t="s">
        <v>773</v>
      </c>
      <c r="D101" s="146" t="s">
        <v>774</v>
      </c>
      <c r="E101" s="147"/>
      <c r="F101" s="148"/>
      <c r="G101" s="149"/>
      <c r="H101" s="149"/>
    </row>
    <row r="102" spans="1:8" ht="153">
      <c r="A102" s="127"/>
      <c r="B102" s="150">
        <f>B100+1</f>
        <v>6</v>
      </c>
      <c r="C102" s="151"/>
      <c r="D102" s="152" t="s">
        <v>932</v>
      </c>
      <c r="E102" s="153" t="s">
        <v>399</v>
      </c>
      <c r="F102" s="5">
        <v>1</v>
      </c>
      <c r="G102" s="285"/>
      <c r="H102" s="155">
        <f>F102*G102</f>
        <v>0</v>
      </c>
    </row>
    <row r="103" spans="1:8" ht="14.25" customHeight="1">
      <c r="A103" s="127"/>
      <c r="B103" s="134"/>
      <c r="C103" s="141" t="s">
        <v>775</v>
      </c>
      <c r="D103" s="146" t="s">
        <v>776</v>
      </c>
      <c r="E103" s="147"/>
      <c r="F103" s="148"/>
      <c r="G103" s="149"/>
      <c r="H103" s="149"/>
    </row>
    <row r="104" spans="1:8" ht="25.5">
      <c r="A104" s="127"/>
      <c r="B104" s="150">
        <f>B102+1</f>
        <v>7</v>
      </c>
      <c r="C104" s="151"/>
      <c r="D104" s="152" t="s">
        <v>777</v>
      </c>
      <c r="E104" s="153" t="s">
        <v>399</v>
      </c>
      <c r="F104" s="5">
        <v>1</v>
      </c>
      <c r="G104" s="285"/>
      <c r="H104" s="155">
        <f>F104*G104</f>
        <v>0</v>
      </c>
    </row>
    <row r="105" spans="1:8" ht="125.25" customHeight="1">
      <c r="A105" s="127"/>
      <c r="B105" s="150"/>
      <c r="C105" s="151"/>
      <c r="D105" s="325" t="s">
        <v>778</v>
      </c>
      <c r="E105" s="325"/>
      <c r="F105" s="325"/>
      <c r="G105" s="325"/>
      <c r="H105" s="325"/>
    </row>
    <row r="106" spans="1:8" ht="14.25" customHeight="1">
      <c r="A106" s="127"/>
      <c r="B106" s="150">
        <f>B104+1</f>
        <v>8</v>
      </c>
      <c r="C106" s="151"/>
      <c r="D106" s="152" t="s">
        <v>779</v>
      </c>
      <c r="E106" s="153" t="s">
        <v>399</v>
      </c>
      <c r="F106" s="5">
        <v>1</v>
      </c>
      <c r="G106" s="285"/>
      <c r="H106" s="155">
        <f>F106*G106</f>
        <v>0</v>
      </c>
    </row>
    <row r="107" spans="1:8" ht="78.75" customHeight="1" thickBot="1">
      <c r="A107" s="127"/>
      <c r="B107" s="134"/>
      <c r="C107" s="135"/>
      <c r="D107" s="337" t="s">
        <v>929</v>
      </c>
      <c r="E107" s="337"/>
      <c r="F107" s="337"/>
      <c r="G107" s="337"/>
      <c r="H107" s="337"/>
    </row>
    <row r="108" spans="1:8" ht="14.25" customHeight="1" thickBot="1">
      <c r="A108" s="127"/>
      <c r="B108" s="134"/>
      <c r="C108" s="135"/>
      <c r="D108" s="162" t="s">
        <v>401</v>
      </c>
      <c r="E108" s="163"/>
      <c r="F108" s="164"/>
      <c r="G108" s="165"/>
      <c r="H108" s="166">
        <f>ROUNDUP(SUBTOTAL(9,H86:H107),0)</f>
        <v>0</v>
      </c>
    </row>
    <row r="109" spans="1:8" ht="14.25" customHeight="1">
      <c r="A109" s="127"/>
      <c r="B109" s="134"/>
      <c r="C109" s="135"/>
      <c r="D109" s="167"/>
      <c r="E109" s="168"/>
      <c r="F109" s="169"/>
      <c r="G109" s="170"/>
      <c r="H109" s="171"/>
    </row>
    <row r="110" spans="1:10" ht="24.75" customHeight="1">
      <c r="A110" s="127"/>
      <c r="B110" s="172" t="s">
        <v>329</v>
      </c>
      <c r="C110" s="173"/>
      <c r="D110" s="63"/>
      <c r="E110" s="27"/>
      <c r="F110" s="31"/>
      <c r="G110" s="31"/>
      <c r="I110" s="31"/>
      <c r="J110" s="300"/>
    </row>
    <row r="111" spans="1:11" s="179" customFormat="1" ht="16.5">
      <c r="A111" s="174"/>
      <c r="B111" s="175"/>
      <c r="C111" s="176">
        <v>1</v>
      </c>
      <c r="D111" s="321" t="s">
        <v>107</v>
      </c>
      <c r="E111" s="321"/>
      <c r="F111" s="321"/>
      <c r="G111" s="321"/>
      <c r="H111" s="321"/>
      <c r="I111" s="177"/>
      <c r="J111" s="302"/>
      <c r="K111" s="178"/>
    </row>
    <row r="112" spans="1:18" ht="12.75">
      <c r="A112" s="180">
        <f aca="true" t="shared" si="4" ref="A112:A120">A111+1</f>
        <v>1</v>
      </c>
      <c r="B112" s="181" t="s">
        <v>316</v>
      </c>
      <c r="C112" s="182"/>
      <c r="D112" s="183" t="s">
        <v>43</v>
      </c>
      <c r="E112" s="184" t="s">
        <v>402</v>
      </c>
      <c r="F112" s="3">
        <v>1</v>
      </c>
      <c r="G112" s="285"/>
      <c r="H112" s="186">
        <f aca="true" t="shared" si="5" ref="H112:H120">F112*G112</f>
        <v>0</v>
      </c>
      <c r="I112" s="36" t="s">
        <v>101</v>
      </c>
      <c r="N112" s="74"/>
      <c r="O112" s="31">
        <v>0.014</v>
      </c>
      <c r="P112" s="34">
        <f>+F112</f>
        <v>1</v>
      </c>
      <c r="Q112" s="34">
        <f>+O112*P112</f>
        <v>0.014</v>
      </c>
      <c r="R112" s="99" t="s">
        <v>165</v>
      </c>
    </row>
    <row r="113" spans="1:18" ht="25.5">
      <c r="A113" s="180">
        <f>A112+1</f>
        <v>2</v>
      </c>
      <c r="B113" s="187" t="s">
        <v>465</v>
      </c>
      <c r="C113" s="182"/>
      <c r="D113" s="183" t="s">
        <v>459</v>
      </c>
      <c r="E113" s="184" t="s">
        <v>402</v>
      </c>
      <c r="F113" s="3">
        <v>15</v>
      </c>
      <c r="G113" s="285"/>
      <c r="H113" s="186">
        <f t="shared" si="5"/>
        <v>0</v>
      </c>
      <c r="I113" s="36" t="s">
        <v>101</v>
      </c>
      <c r="N113" s="74"/>
      <c r="P113" s="34"/>
      <c r="Q113" s="34"/>
      <c r="R113" s="99"/>
    </row>
    <row r="114" spans="1:18" ht="12.75">
      <c r="A114" s="180">
        <f>A113+1</f>
        <v>3</v>
      </c>
      <c r="B114" s="181" t="s">
        <v>148</v>
      </c>
      <c r="C114" s="182"/>
      <c r="D114" s="183" t="s">
        <v>141</v>
      </c>
      <c r="E114" s="184" t="s">
        <v>402</v>
      </c>
      <c r="F114" s="3">
        <v>1</v>
      </c>
      <c r="G114" s="285"/>
      <c r="H114" s="186">
        <f t="shared" si="5"/>
        <v>0</v>
      </c>
      <c r="I114" s="36" t="s">
        <v>101</v>
      </c>
      <c r="N114" s="74"/>
      <c r="P114" s="34"/>
      <c r="Q114" s="34">
        <f>0.088*F114</f>
        <v>0.088</v>
      </c>
      <c r="R114" s="99" t="s">
        <v>165</v>
      </c>
    </row>
    <row r="115" spans="1:18" ht="12.75">
      <c r="A115" s="180">
        <f>A114+1</f>
        <v>4</v>
      </c>
      <c r="B115" s="188" t="s">
        <v>432</v>
      </c>
      <c r="C115" s="151"/>
      <c r="D115" s="152" t="s">
        <v>433</v>
      </c>
      <c r="E115" s="153" t="s">
        <v>400</v>
      </c>
      <c r="F115" s="7">
        <f>2*0.45*1.6</f>
        <v>1.4400000000000002</v>
      </c>
      <c r="G115" s="285"/>
      <c r="H115" s="155">
        <f t="shared" si="5"/>
        <v>0</v>
      </c>
      <c r="I115" s="36" t="s">
        <v>101</v>
      </c>
      <c r="N115" s="74"/>
      <c r="P115" s="34"/>
      <c r="Q115" s="34"/>
      <c r="R115" s="99"/>
    </row>
    <row r="116" spans="1:18" ht="12.75">
      <c r="A116" s="180">
        <f t="shared" si="4"/>
        <v>5</v>
      </c>
      <c r="B116" s="188" t="s">
        <v>434</v>
      </c>
      <c r="C116" s="151"/>
      <c r="D116" s="152" t="s">
        <v>435</v>
      </c>
      <c r="E116" s="153" t="s">
        <v>402</v>
      </c>
      <c r="F116" s="7">
        <v>2</v>
      </c>
      <c r="G116" s="285"/>
      <c r="H116" s="155">
        <f t="shared" si="5"/>
        <v>0</v>
      </c>
      <c r="I116" s="36" t="s">
        <v>101</v>
      </c>
      <c r="N116" s="74"/>
      <c r="P116" s="34"/>
      <c r="Q116" s="34"/>
      <c r="R116" s="99"/>
    </row>
    <row r="117" spans="1:18" ht="25.5">
      <c r="A117" s="180">
        <f t="shared" si="4"/>
        <v>6</v>
      </c>
      <c r="B117" s="181" t="s">
        <v>149</v>
      </c>
      <c r="C117" s="189"/>
      <c r="D117" s="183" t="s">
        <v>271</v>
      </c>
      <c r="E117" s="184" t="s">
        <v>400</v>
      </c>
      <c r="F117" s="3">
        <f>F204</f>
        <v>302.53782499999994</v>
      </c>
      <c r="G117" s="285"/>
      <c r="H117" s="186">
        <f t="shared" si="5"/>
        <v>0</v>
      </c>
      <c r="I117" s="90" t="s">
        <v>101</v>
      </c>
      <c r="N117" s="74"/>
      <c r="Q117" s="34">
        <f>0.004*F117</f>
        <v>1.2101512999999997</v>
      </c>
      <c r="R117" s="99"/>
    </row>
    <row r="118" spans="1:18" ht="13.5" customHeight="1">
      <c r="A118" s="190">
        <f t="shared" si="4"/>
        <v>7</v>
      </c>
      <c r="B118" s="181" t="s">
        <v>232</v>
      </c>
      <c r="C118" s="182"/>
      <c r="D118" s="183" t="s">
        <v>145</v>
      </c>
      <c r="E118" s="184" t="s">
        <v>400</v>
      </c>
      <c r="F118" s="3">
        <f>9.03*2+4.33*1.5+3.1*1.5+0.6*1.8</f>
        <v>30.284999999999997</v>
      </c>
      <c r="G118" s="285"/>
      <c r="H118" s="186">
        <f t="shared" si="5"/>
        <v>0</v>
      </c>
      <c r="I118" s="90" t="s">
        <v>101</v>
      </c>
      <c r="N118" s="74"/>
      <c r="Q118" s="34">
        <f>0.068*F118</f>
        <v>2.05938</v>
      </c>
      <c r="R118" s="99"/>
    </row>
    <row r="119" spans="1:18" ht="13.5" customHeight="1">
      <c r="A119" s="190">
        <f t="shared" si="4"/>
        <v>8</v>
      </c>
      <c r="B119" s="181" t="s">
        <v>616</v>
      </c>
      <c r="C119" s="182"/>
      <c r="D119" s="183" t="s">
        <v>615</v>
      </c>
      <c r="E119" s="184" t="s">
        <v>400</v>
      </c>
      <c r="F119" s="3">
        <f>1.06*0.8*2+5.1*0.8</f>
        <v>5.776</v>
      </c>
      <c r="G119" s="285"/>
      <c r="H119" s="186">
        <f t="shared" si="5"/>
        <v>0</v>
      </c>
      <c r="I119" s="90" t="s">
        <v>101</v>
      </c>
      <c r="N119" s="74"/>
      <c r="Q119" s="34"/>
      <c r="R119" s="99"/>
    </row>
    <row r="120" spans="1:18" ht="12.75">
      <c r="A120" s="190">
        <f t="shared" si="4"/>
        <v>9</v>
      </c>
      <c r="B120" s="181" t="s">
        <v>150</v>
      </c>
      <c r="C120" s="189"/>
      <c r="D120" s="183" t="s">
        <v>460</v>
      </c>
      <c r="E120" s="184" t="s">
        <v>400</v>
      </c>
      <c r="F120" s="3">
        <f>0.24*1.885+0.445*1.55+0.85*0.77</f>
        <v>1.79665</v>
      </c>
      <c r="G120" s="285"/>
      <c r="H120" s="186">
        <f t="shared" si="5"/>
        <v>0</v>
      </c>
      <c r="I120" s="90" t="s">
        <v>101</v>
      </c>
      <c r="N120" s="74">
        <v>0.1</v>
      </c>
      <c r="O120" s="31">
        <v>2.1</v>
      </c>
      <c r="P120" s="31">
        <f>+F120*N120</f>
        <v>0.17966500000000002</v>
      </c>
      <c r="Q120" s="34">
        <f>+O120*P120</f>
        <v>0.37729650000000003</v>
      </c>
      <c r="R120" s="99"/>
    </row>
    <row r="121" spans="1:18" ht="25.5">
      <c r="A121" s="180">
        <f>A118+1</f>
        <v>8</v>
      </c>
      <c r="B121" s="254" t="s">
        <v>151</v>
      </c>
      <c r="C121" s="182"/>
      <c r="D121" s="183" t="s">
        <v>952</v>
      </c>
      <c r="E121" s="184" t="s">
        <v>403</v>
      </c>
      <c r="F121" s="3">
        <f>(0.32+0.32+0.08+0.2)</f>
        <v>0.9199999999999999</v>
      </c>
      <c r="G121" s="285"/>
      <c r="H121" s="186">
        <f aca="true" t="shared" si="6" ref="H121:H126">F121*G121</f>
        <v>0</v>
      </c>
      <c r="I121" s="90" t="s">
        <v>101</v>
      </c>
      <c r="N121" s="74"/>
      <c r="P121" s="191"/>
      <c r="Q121" s="34">
        <f>0.0114*F121</f>
        <v>0.010487999999999999</v>
      </c>
      <c r="R121" s="99"/>
    </row>
    <row r="122" spans="1:18" ht="25.5">
      <c r="A122" s="180">
        <f>A119+1</f>
        <v>9</v>
      </c>
      <c r="B122" s="254" t="s">
        <v>953</v>
      </c>
      <c r="C122" s="182"/>
      <c r="D122" s="183" t="s">
        <v>954</v>
      </c>
      <c r="E122" s="184" t="s">
        <v>403</v>
      </c>
      <c r="F122" s="3">
        <f>(0.68+0.2+0.08)+(0.68+0.2+0.08)</f>
        <v>1.9200000000000002</v>
      </c>
      <c r="G122" s="285"/>
      <c r="H122" s="186">
        <f t="shared" si="6"/>
        <v>0</v>
      </c>
      <c r="I122" s="90" t="s">
        <v>101</v>
      </c>
      <c r="N122" s="74"/>
      <c r="P122" s="191"/>
      <c r="Q122" s="34">
        <f>0.0114*F122</f>
        <v>0.021888</v>
      </c>
      <c r="R122" s="99"/>
    </row>
    <row r="123" spans="1:18" ht="25.5">
      <c r="A123" s="180">
        <f>A120+1</f>
        <v>10</v>
      </c>
      <c r="B123" s="192" t="s">
        <v>311</v>
      </c>
      <c r="C123" s="182"/>
      <c r="D123" s="183" t="s">
        <v>312</v>
      </c>
      <c r="E123" s="184" t="s">
        <v>400</v>
      </c>
      <c r="F123" s="3">
        <f>1.32+4.79+1.68+15.49</f>
        <v>23.28</v>
      </c>
      <c r="G123" s="285"/>
      <c r="H123" s="186">
        <f t="shared" si="6"/>
        <v>0</v>
      </c>
      <c r="I123" s="90" t="s">
        <v>101</v>
      </c>
      <c r="N123" s="74"/>
      <c r="O123" s="74"/>
      <c r="Q123" s="34">
        <f>0.02*F123</f>
        <v>0.4656</v>
      </c>
      <c r="R123" s="99"/>
    </row>
    <row r="124" spans="1:18" ht="12.75">
      <c r="A124" s="180">
        <f>A121+1</f>
        <v>9</v>
      </c>
      <c r="B124" s="193" t="s">
        <v>437</v>
      </c>
      <c r="C124" s="182"/>
      <c r="D124" s="183" t="s">
        <v>410</v>
      </c>
      <c r="E124" s="184" t="s">
        <v>400</v>
      </c>
      <c r="F124" s="3">
        <f>1.68+15.49</f>
        <v>17.17</v>
      </c>
      <c r="G124" s="285"/>
      <c r="H124" s="186">
        <f t="shared" si="6"/>
        <v>0</v>
      </c>
      <c r="I124" s="90" t="s">
        <v>101</v>
      </c>
      <c r="N124" s="74"/>
      <c r="O124" s="74"/>
      <c r="Q124" s="34"/>
      <c r="R124" s="99"/>
    </row>
    <row r="125" spans="1:18" ht="25.5">
      <c r="A125" s="180">
        <f>A124+1</f>
        <v>10</v>
      </c>
      <c r="B125" s="187" t="s">
        <v>296</v>
      </c>
      <c r="C125" s="182"/>
      <c r="D125" s="183" t="s">
        <v>436</v>
      </c>
      <c r="E125" s="184" t="s">
        <v>400</v>
      </c>
      <c r="F125" s="3">
        <f>11.29+15.49+7.33</f>
        <v>34.11</v>
      </c>
      <c r="G125" s="285"/>
      <c r="H125" s="186">
        <f t="shared" si="6"/>
        <v>0</v>
      </c>
      <c r="I125" s="90" t="s">
        <v>101</v>
      </c>
      <c r="N125" s="74"/>
      <c r="O125" s="74"/>
      <c r="P125" s="74"/>
      <c r="Q125" s="34">
        <f>0.001*F125</f>
        <v>0.03411</v>
      </c>
      <c r="R125" s="99"/>
    </row>
    <row r="126" spans="1:18" ht="25.5">
      <c r="A126" s="180">
        <f>A125+1</f>
        <v>11</v>
      </c>
      <c r="B126" s="187" t="s">
        <v>152</v>
      </c>
      <c r="C126" s="182"/>
      <c r="D126" s="152" t="s">
        <v>461</v>
      </c>
      <c r="E126" s="184" t="s">
        <v>400</v>
      </c>
      <c r="F126" s="3">
        <f>11.29+15.49+7.33+1.68</f>
        <v>35.79</v>
      </c>
      <c r="G126" s="285"/>
      <c r="H126" s="186">
        <f t="shared" si="6"/>
        <v>0</v>
      </c>
      <c r="I126" s="90" t="s">
        <v>101</v>
      </c>
      <c r="N126" s="74"/>
      <c r="O126" s="74"/>
      <c r="P126" s="191"/>
      <c r="Q126" s="191">
        <f>0.167*F126</f>
        <v>5.97693</v>
      </c>
      <c r="R126" s="99"/>
    </row>
    <row r="127" spans="1:18" ht="12.75">
      <c r="A127" s="180"/>
      <c r="B127" s="181"/>
      <c r="C127" s="182"/>
      <c r="D127" s="194" t="s">
        <v>464</v>
      </c>
      <c r="E127" s="195"/>
      <c r="F127" s="3"/>
      <c r="G127" s="285"/>
      <c r="H127" s="186"/>
      <c r="I127" s="90"/>
      <c r="N127" s="74"/>
      <c r="O127" s="74"/>
      <c r="P127" s="74"/>
      <c r="Q127" s="191"/>
      <c r="R127" s="99"/>
    </row>
    <row r="128" spans="1:18" ht="12.75">
      <c r="A128" s="180"/>
      <c r="B128" s="181"/>
      <c r="C128" s="182"/>
      <c r="D128" s="194" t="s">
        <v>463</v>
      </c>
      <c r="E128" s="195"/>
      <c r="F128" s="3"/>
      <c r="G128" s="285"/>
      <c r="H128" s="186"/>
      <c r="I128" s="90"/>
      <c r="N128" s="74"/>
      <c r="O128" s="74"/>
      <c r="P128" s="74"/>
      <c r="Q128" s="191"/>
      <c r="R128" s="99"/>
    </row>
    <row r="129" spans="1:18" ht="12.75">
      <c r="A129" s="180"/>
      <c r="B129" s="181"/>
      <c r="C129" s="182"/>
      <c r="D129" s="194" t="s">
        <v>462</v>
      </c>
      <c r="E129" s="195"/>
      <c r="F129" s="3"/>
      <c r="G129" s="285"/>
      <c r="H129" s="186"/>
      <c r="I129" s="90"/>
      <c r="N129" s="74"/>
      <c r="O129" s="74"/>
      <c r="P129" s="74"/>
      <c r="Q129" s="191"/>
      <c r="R129" s="99"/>
    </row>
    <row r="130" spans="1:18" ht="12.75">
      <c r="A130" s="180">
        <f>A126+1</f>
        <v>12</v>
      </c>
      <c r="B130" s="181" t="s">
        <v>221</v>
      </c>
      <c r="C130" s="196"/>
      <c r="D130" s="183" t="s">
        <v>275</v>
      </c>
      <c r="E130" s="184" t="s">
        <v>403</v>
      </c>
      <c r="F130" s="3">
        <f>20.9-2*1.15+27.82-3*1.15+18.6-1.15</f>
        <v>60.42</v>
      </c>
      <c r="G130" s="286"/>
      <c r="H130" s="186">
        <f aca="true" t="shared" si="7" ref="H130:H136">F130*G130</f>
        <v>0</v>
      </c>
      <c r="I130" s="135" t="s">
        <v>101</v>
      </c>
      <c r="J130" s="300"/>
      <c r="K130" s="31"/>
      <c r="Q130" s="31">
        <v>0.001</v>
      </c>
      <c r="R130" s="31" t="s">
        <v>165</v>
      </c>
    </row>
    <row r="131" spans="1:18" s="99" customFormat="1" ht="12.75">
      <c r="A131" s="180">
        <f>A130+1</f>
        <v>13</v>
      </c>
      <c r="B131" s="188" t="s">
        <v>466</v>
      </c>
      <c r="C131" s="151"/>
      <c r="D131" s="152" t="s">
        <v>467</v>
      </c>
      <c r="E131" s="153" t="s">
        <v>400</v>
      </c>
      <c r="F131" s="3">
        <f>11.29+7.33</f>
        <v>18.619999999999997</v>
      </c>
      <c r="G131" s="285"/>
      <c r="H131" s="186">
        <f t="shared" si="7"/>
        <v>0</v>
      </c>
      <c r="I131" s="36" t="s">
        <v>101</v>
      </c>
      <c r="J131" s="296"/>
      <c r="N131" s="100"/>
      <c r="Q131" s="100">
        <f>0.024*F131</f>
        <v>0.44687999999999994</v>
      </c>
      <c r="R131" s="99" t="s">
        <v>165</v>
      </c>
    </row>
    <row r="132" spans="1:18" ht="38.25">
      <c r="A132" s="180">
        <f>A131+1</f>
        <v>14</v>
      </c>
      <c r="B132" s="187" t="s">
        <v>875</v>
      </c>
      <c r="C132" s="182"/>
      <c r="D132" s="183" t="s">
        <v>153</v>
      </c>
      <c r="E132" s="184" t="s">
        <v>400</v>
      </c>
      <c r="F132" s="3">
        <v>2</v>
      </c>
      <c r="G132" s="285"/>
      <c r="H132" s="186">
        <f t="shared" si="7"/>
        <v>0</v>
      </c>
      <c r="I132" s="197" t="s">
        <v>101</v>
      </c>
      <c r="K132" s="31"/>
      <c r="O132" s="74"/>
      <c r="R132" s="34"/>
    </row>
    <row r="133" spans="1:18" ht="12.75">
      <c r="A133" s="180">
        <f>A132+1</f>
        <v>15</v>
      </c>
      <c r="B133" s="187" t="s">
        <v>879</v>
      </c>
      <c r="C133" s="182"/>
      <c r="D133" s="183" t="s">
        <v>955</v>
      </c>
      <c r="E133" s="184" t="s">
        <v>399</v>
      </c>
      <c r="F133" s="3">
        <v>1</v>
      </c>
      <c r="G133" s="285"/>
      <c r="H133" s="186">
        <f t="shared" si="7"/>
        <v>0</v>
      </c>
      <c r="I133" s="197" t="s">
        <v>101</v>
      </c>
      <c r="K133" s="31"/>
      <c r="O133" s="74"/>
      <c r="R133" s="34"/>
    </row>
    <row r="134" spans="1:18" ht="25.5">
      <c r="A134" s="180">
        <f>A133+1</f>
        <v>16</v>
      </c>
      <c r="B134" s="187" t="s">
        <v>876</v>
      </c>
      <c r="C134" s="182"/>
      <c r="D134" s="183" t="s">
        <v>956</v>
      </c>
      <c r="E134" s="184" t="s">
        <v>400</v>
      </c>
      <c r="F134" s="3">
        <v>2</v>
      </c>
      <c r="G134" s="285"/>
      <c r="H134" s="186">
        <f t="shared" si="7"/>
        <v>0</v>
      </c>
      <c r="I134" s="197" t="s">
        <v>101</v>
      </c>
      <c r="K134" s="31"/>
      <c r="O134" s="74"/>
      <c r="R134" s="34"/>
    </row>
    <row r="135" spans="1:18" ht="12.75">
      <c r="A135" s="180">
        <f aca="true" t="shared" si="8" ref="A135:A147">A134+1</f>
        <v>17</v>
      </c>
      <c r="B135" s="187" t="s">
        <v>877</v>
      </c>
      <c r="C135" s="182"/>
      <c r="D135" s="183" t="s">
        <v>878</v>
      </c>
      <c r="E135" s="184" t="s">
        <v>139</v>
      </c>
      <c r="F135" s="3">
        <f>2*0.045</f>
        <v>0.09</v>
      </c>
      <c r="G135" s="285"/>
      <c r="H135" s="186">
        <f t="shared" si="7"/>
        <v>0</v>
      </c>
      <c r="I135" s="197" t="s">
        <v>101</v>
      </c>
      <c r="K135" s="31"/>
      <c r="O135" s="74"/>
      <c r="R135" s="34"/>
    </row>
    <row r="136" spans="1:18" ht="12.75">
      <c r="A136" s="180">
        <f t="shared" si="8"/>
        <v>18</v>
      </c>
      <c r="B136" s="187" t="s">
        <v>752</v>
      </c>
      <c r="C136" s="182"/>
      <c r="D136" s="183" t="s">
        <v>617</v>
      </c>
      <c r="E136" s="184" t="s">
        <v>399</v>
      </c>
      <c r="F136" s="3">
        <v>1</v>
      </c>
      <c r="G136" s="285"/>
      <c r="H136" s="186">
        <f t="shared" si="7"/>
        <v>0</v>
      </c>
      <c r="I136" s="197" t="s">
        <v>101</v>
      </c>
      <c r="K136" s="31"/>
      <c r="O136" s="74"/>
      <c r="Q136" s="31">
        <v>0.08</v>
      </c>
      <c r="R136" s="34" t="s">
        <v>165</v>
      </c>
    </row>
    <row r="137" spans="1:17" ht="12.75">
      <c r="A137" s="180">
        <f t="shared" si="8"/>
        <v>19</v>
      </c>
      <c r="B137" s="181" t="s">
        <v>315</v>
      </c>
      <c r="C137" s="182"/>
      <c r="D137" s="183" t="s">
        <v>94</v>
      </c>
      <c r="E137" s="184" t="s">
        <v>400</v>
      </c>
      <c r="F137" s="3">
        <f>1.035*2.155+1.245*2.13+1.815*2.18+1.83*2.965+1.845*2.96+1.83*2.15+2*0.535*2.15</f>
        <v>25.961125</v>
      </c>
      <c r="G137" s="285"/>
      <c r="H137" s="186">
        <f aca="true" t="shared" si="9" ref="H137:H147">F137*G137</f>
        <v>0</v>
      </c>
      <c r="I137" s="90" t="s">
        <v>101</v>
      </c>
      <c r="N137" s="74"/>
      <c r="Q137" s="34"/>
    </row>
    <row r="138" spans="1:17" ht="12.75">
      <c r="A138" s="180">
        <f t="shared" si="8"/>
        <v>20</v>
      </c>
      <c r="B138" s="187" t="s">
        <v>860</v>
      </c>
      <c r="C138" s="182"/>
      <c r="D138" s="183" t="s">
        <v>859</v>
      </c>
      <c r="E138" s="184" t="s">
        <v>400</v>
      </c>
      <c r="F138" s="3">
        <f>24.23+37.13+20.2</f>
        <v>81.56</v>
      </c>
      <c r="G138" s="285"/>
      <c r="H138" s="186">
        <f t="shared" si="9"/>
        <v>0</v>
      </c>
      <c r="I138" s="90" t="s">
        <v>101</v>
      </c>
      <c r="N138" s="74"/>
      <c r="Q138" s="34"/>
    </row>
    <row r="139" spans="1:18" ht="12.75">
      <c r="A139" s="180">
        <f t="shared" si="8"/>
        <v>21</v>
      </c>
      <c r="B139" s="181" t="s">
        <v>745</v>
      </c>
      <c r="C139" s="182"/>
      <c r="D139" s="183" t="s">
        <v>746</v>
      </c>
      <c r="E139" s="184" t="s">
        <v>404</v>
      </c>
      <c r="F139" s="3">
        <f>+Q139</f>
        <v>10.7857238</v>
      </c>
      <c r="G139" s="285"/>
      <c r="H139" s="186">
        <f t="shared" si="9"/>
        <v>0</v>
      </c>
      <c r="I139" s="90" t="s">
        <v>101</v>
      </c>
      <c r="N139" s="74"/>
      <c r="Q139" s="198">
        <f>SUM(Q112:Q137)</f>
        <v>10.7857238</v>
      </c>
      <c r="R139" s="45">
        <f>SUMIF(R$112:R$136,"d",Q$112:Q$136)</f>
        <v>0.6298799999999999</v>
      </c>
    </row>
    <row r="140" spans="1:18" ht="12.75">
      <c r="A140" s="180">
        <f t="shared" si="8"/>
        <v>22</v>
      </c>
      <c r="B140" s="181" t="s">
        <v>154</v>
      </c>
      <c r="C140" s="182"/>
      <c r="D140" s="183" t="s">
        <v>288</v>
      </c>
      <c r="E140" s="184" t="s">
        <v>404</v>
      </c>
      <c r="F140" s="3">
        <f>+F139</f>
        <v>10.7857238</v>
      </c>
      <c r="G140" s="286"/>
      <c r="H140" s="186">
        <f t="shared" si="9"/>
        <v>0</v>
      </c>
      <c r="I140" s="90" t="s">
        <v>101</v>
      </c>
      <c r="N140" s="74"/>
      <c r="Q140" s="198"/>
      <c r="R140" s="45"/>
    </row>
    <row r="141" spans="1:18" ht="12.75">
      <c r="A141" s="180">
        <f t="shared" si="8"/>
        <v>23</v>
      </c>
      <c r="B141" s="181" t="s">
        <v>743</v>
      </c>
      <c r="C141" s="182"/>
      <c r="D141" s="183" t="s">
        <v>744</v>
      </c>
      <c r="E141" s="184" t="s">
        <v>404</v>
      </c>
      <c r="F141" s="3">
        <f>+F140*2</f>
        <v>21.5714476</v>
      </c>
      <c r="G141" s="285"/>
      <c r="H141" s="186">
        <f t="shared" si="9"/>
        <v>0</v>
      </c>
      <c r="I141" s="90" t="s">
        <v>101</v>
      </c>
      <c r="N141" s="74"/>
      <c r="Q141" s="191"/>
      <c r="R141" s="99"/>
    </row>
    <row r="142" spans="1:18" ht="12.75">
      <c r="A142" s="180">
        <f>A140+1</f>
        <v>23</v>
      </c>
      <c r="B142" s="181" t="s">
        <v>155</v>
      </c>
      <c r="C142" s="182"/>
      <c r="D142" s="183" t="s">
        <v>156</v>
      </c>
      <c r="E142" s="184" t="s">
        <v>404</v>
      </c>
      <c r="F142" s="3">
        <f>F139</f>
        <v>10.7857238</v>
      </c>
      <c r="G142" s="286"/>
      <c r="H142" s="186">
        <f t="shared" si="9"/>
        <v>0</v>
      </c>
      <c r="I142" s="90" t="s">
        <v>101</v>
      </c>
      <c r="N142" s="74"/>
      <c r="Q142" s="198"/>
      <c r="R142" s="45"/>
    </row>
    <row r="143" spans="1:18" ht="12.75">
      <c r="A143" s="180">
        <f t="shared" si="8"/>
        <v>24</v>
      </c>
      <c r="B143" s="181" t="s">
        <v>157</v>
      </c>
      <c r="C143" s="182"/>
      <c r="D143" s="183" t="s">
        <v>158</v>
      </c>
      <c r="E143" s="184" t="s">
        <v>404</v>
      </c>
      <c r="F143" s="3">
        <f>F139</f>
        <v>10.7857238</v>
      </c>
      <c r="G143" s="285"/>
      <c r="H143" s="186">
        <f t="shared" si="9"/>
        <v>0</v>
      </c>
      <c r="I143" s="90" t="s">
        <v>101</v>
      </c>
      <c r="N143" s="74"/>
      <c r="Q143" s="198"/>
      <c r="R143" s="45"/>
    </row>
    <row r="144" spans="1:18" ht="12.75">
      <c r="A144" s="180">
        <f t="shared" si="8"/>
        <v>25</v>
      </c>
      <c r="B144" s="181" t="s">
        <v>159</v>
      </c>
      <c r="C144" s="182"/>
      <c r="D144" s="183" t="s">
        <v>160</v>
      </c>
      <c r="E144" s="184" t="s">
        <v>404</v>
      </c>
      <c r="F144" s="3">
        <f>F139</f>
        <v>10.7857238</v>
      </c>
      <c r="G144" s="285"/>
      <c r="H144" s="186">
        <f t="shared" si="9"/>
        <v>0</v>
      </c>
      <c r="I144" s="90" t="s">
        <v>101</v>
      </c>
      <c r="N144" s="74"/>
      <c r="Q144" s="198"/>
      <c r="R144" s="45"/>
    </row>
    <row r="145" spans="1:18" ht="12.75">
      <c r="A145" s="180">
        <f t="shared" si="8"/>
        <v>26</v>
      </c>
      <c r="B145" s="181" t="s">
        <v>161</v>
      </c>
      <c r="C145" s="182"/>
      <c r="D145" s="183" t="s">
        <v>162</v>
      </c>
      <c r="E145" s="184" t="s">
        <v>404</v>
      </c>
      <c r="F145" s="3">
        <f>Q139-R139</f>
        <v>10.1558438</v>
      </c>
      <c r="G145" s="285"/>
      <c r="H145" s="186">
        <f t="shared" si="9"/>
        <v>0</v>
      </c>
      <c r="I145" s="90" t="s">
        <v>101</v>
      </c>
      <c r="N145" s="74"/>
      <c r="Q145" s="198"/>
      <c r="R145" s="45"/>
    </row>
    <row r="146" spans="1:18" ht="12.75">
      <c r="A146" s="180">
        <f t="shared" si="8"/>
        <v>27</v>
      </c>
      <c r="B146" s="181" t="s">
        <v>164</v>
      </c>
      <c r="C146" s="182"/>
      <c r="D146" s="183" t="s">
        <v>163</v>
      </c>
      <c r="E146" s="184" t="s">
        <v>404</v>
      </c>
      <c r="F146" s="3">
        <f>R139</f>
        <v>0.6298799999999999</v>
      </c>
      <c r="G146" s="285"/>
      <c r="H146" s="186">
        <f t="shared" si="9"/>
        <v>0</v>
      </c>
      <c r="I146" s="90" t="s">
        <v>101</v>
      </c>
      <c r="N146" s="74"/>
      <c r="Q146" s="198"/>
      <c r="R146" s="45"/>
    </row>
    <row r="147" spans="1:9" ht="13.5" thickBot="1">
      <c r="A147" s="180">
        <f t="shared" si="8"/>
        <v>28</v>
      </c>
      <c r="B147" s="181" t="s">
        <v>750</v>
      </c>
      <c r="C147" s="182"/>
      <c r="D147" s="183" t="s">
        <v>751</v>
      </c>
      <c r="E147" s="184" t="s">
        <v>404</v>
      </c>
      <c r="F147" s="3">
        <f>+Q139</f>
        <v>10.7857238</v>
      </c>
      <c r="G147" s="285"/>
      <c r="H147" s="186">
        <f t="shared" si="9"/>
        <v>0</v>
      </c>
      <c r="I147" s="90" t="s">
        <v>101</v>
      </c>
    </row>
    <row r="148" spans="1:9" ht="13.5" thickBot="1">
      <c r="A148" s="180"/>
      <c r="B148" s="181"/>
      <c r="C148" s="182"/>
      <c r="D148" s="199" t="s">
        <v>401</v>
      </c>
      <c r="E148" s="200"/>
      <c r="F148" s="201"/>
      <c r="G148" s="202"/>
      <c r="H148" s="203">
        <f>SUBTOTAL(9,H112:H147)</f>
        <v>0</v>
      </c>
      <c r="I148" s="90"/>
    </row>
    <row r="149" spans="1:9" ht="12.75">
      <c r="A149" s="180"/>
      <c r="B149" s="181"/>
      <c r="C149" s="182"/>
      <c r="D149" s="204"/>
      <c r="E149" s="168"/>
      <c r="F149" s="64"/>
      <c r="G149" s="107"/>
      <c r="H149" s="205"/>
      <c r="I149" s="90"/>
    </row>
    <row r="150" spans="1:9" ht="16.5">
      <c r="A150" s="180"/>
      <c r="B150" s="181"/>
      <c r="C150" s="176" t="s">
        <v>1</v>
      </c>
      <c r="D150" s="142" t="s">
        <v>95</v>
      </c>
      <c r="E150" s="142"/>
      <c r="F150" s="206"/>
      <c r="G150" s="142"/>
      <c r="H150" s="142"/>
      <c r="I150" s="90"/>
    </row>
    <row r="151" spans="1:9" ht="16.5">
      <c r="A151" s="180"/>
      <c r="B151" s="181"/>
      <c r="C151" s="207" t="s">
        <v>9</v>
      </c>
      <c r="D151" s="142" t="s">
        <v>26</v>
      </c>
      <c r="E151" s="142"/>
      <c r="F151" s="206"/>
      <c r="G151" s="142"/>
      <c r="H151" s="142"/>
      <c r="I151" s="90"/>
    </row>
    <row r="152" spans="1:11" ht="51">
      <c r="A152" s="180">
        <f>+A147+1</f>
        <v>29</v>
      </c>
      <c r="B152" s="187" t="s">
        <v>317</v>
      </c>
      <c r="C152" s="182"/>
      <c r="D152" s="152" t="s">
        <v>472</v>
      </c>
      <c r="E152" s="153" t="s">
        <v>400</v>
      </c>
      <c r="F152" s="7">
        <f>+E153</f>
        <v>5.852500000000001</v>
      </c>
      <c r="G152" s="285"/>
      <c r="H152" s="155">
        <f>F152*G152</f>
        <v>0</v>
      </c>
      <c r="I152" s="90" t="s">
        <v>104</v>
      </c>
      <c r="J152" s="303"/>
      <c r="K152" s="31"/>
    </row>
    <row r="153" spans="1:9" ht="12.75">
      <c r="A153" s="180"/>
      <c r="B153" s="181"/>
      <c r="C153" s="182"/>
      <c r="D153" s="194" t="s">
        <v>469</v>
      </c>
      <c r="E153" s="195">
        <f>(2.12+0.095)*2.5+0.15*2.1</f>
        <v>5.852500000000001</v>
      </c>
      <c r="F153" s="3"/>
      <c r="G153" s="285"/>
      <c r="H153" s="186"/>
      <c r="I153" s="90"/>
    </row>
    <row r="154" spans="1:11" ht="51">
      <c r="A154" s="180">
        <f>A152+1</f>
        <v>30</v>
      </c>
      <c r="B154" s="181" t="s">
        <v>470</v>
      </c>
      <c r="C154" s="182"/>
      <c r="D154" s="152" t="s">
        <v>471</v>
      </c>
      <c r="E154" s="153" t="s">
        <v>400</v>
      </c>
      <c r="F154" s="7">
        <f>+E155</f>
        <v>4.9155</v>
      </c>
      <c r="G154" s="285"/>
      <c r="H154" s="155">
        <f>F154*G154</f>
        <v>0</v>
      </c>
      <c r="I154" s="90" t="s">
        <v>104</v>
      </c>
      <c r="J154" s="303"/>
      <c r="K154" s="31"/>
    </row>
    <row r="155" spans="1:11" ht="12.75">
      <c r="A155" s="180"/>
      <c r="B155" s="181"/>
      <c r="C155" s="182"/>
      <c r="D155" s="194" t="s">
        <v>468</v>
      </c>
      <c r="E155" s="195">
        <f>0.855*2.5+2.315*1.2</f>
        <v>4.9155</v>
      </c>
      <c r="F155" s="7"/>
      <c r="G155" s="285"/>
      <c r="H155" s="155"/>
      <c r="I155" s="90"/>
      <c r="J155" s="303"/>
      <c r="K155" s="31"/>
    </row>
    <row r="156" spans="1:11" ht="25.5">
      <c r="A156" s="180">
        <f>A154+1</f>
        <v>31</v>
      </c>
      <c r="B156" s="181" t="s">
        <v>167</v>
      </c>
      <c r="C156" s="189"/>
      <c r="D156" s="152" t="s">
        <v>166</v>
      </c>
      <c r="E156" s="153" t="s">
        <v>400</v>
      </c>
      <c r="F156" s="3">
        <f>+E157</f>
        <v>0.71435</v>
      </c>
      <c r="G156" s="285"/>
      <c r="H156" s="155">
        <f>F156*G156</f>
        <v>0</v>
      </c>
      <c r="I156" s="90" t="s">
        <v>104</v>
      </c>
      <c r="J156" s="303"/>
      <c r="K156" s="31"/>
    </row>
    <row r="157" spans="1:11" ht="12.75">
      <c r="A157" s="180"/>
      <c r="B157" s="181"/>
      <c r="C157" s="182"/>
      <c r="D157" s="208" t="s">
        <v>473</v>
      </c>
      <c r="E157" s="195">
        <f>0.455*1.57</f>
        <v>0.71435</v>
      </c>
      <c r="F157" s="3"/>
      <c r="G157" s="285"/>
      <c r="H157" s="186"/>
      <c r="I157" s="90"/>
      <c r="J157" s="303"/>
      <c r="K157" s="209"/>
    </row>
    <row r="158" spans="1:11" ht="25.5">
      <c r="A158" s="180">
        <f>A156+1</f>
        <v>32</v>
      </c>
      <c r="B158" s="187" t="s">
        <v>476</v>
      </c>
      <c r="C158" s="189"/>
      <c r="D158" s="152" t="s">
        <v>477</v>
      </c>
      <c r="E158" s="153" t="s">
        <v>139</v>
      </c>
      <c r="F158" s="3">
        <f>+E159+E160+E161</f>
        <v>0.96147</v>
      </c>
      <c r="G158" s="285"/>
      <c r="H158" s="155">
        <f>F158*G158</f>
        <v>0</v>
      </c>
      <c r="I158" s="90" t="s">
        <v>104</v>
      </c>
      <c r="J158" s="303"/>
      <c r="K158" s="31"/>
    </row>
    <row r="159" spans="1:11" ht="12.75">
      <c r="A159" s="180"/>
      <c r="B159" s="181"/>
      <c r="C159" s="189"/>
      <c r="D159" s="208" t="s">
        <v>474</v>
      </c>
      <c r="E159" s="195">
        <f>0.46*1.62*0.3</f>
        <v>0.22356</v>
      </c>
      <c r="F159" s="3"/>
      <c r="G159" s="285"/>
      <c r="H159" s="155"/>
      <c r="I159" s="90"/>
      <c r="J159" s="303"/>
      <c r="K159" s="31"/>
    </row>
    <row r="160" spans="1:11" ht="12.75">
      <c r="A160" s="180"/>
      <c r="B160" s="181"/>
      <c r="C160" s="189"/>
      <c r="D160" s="208" t="s">
        <v>473</v>
      </c>
      <c r="E160" s="195">
        <f>0.42*1.19*0.3</f>
        <v>0.14994</v>
      </c>
      <c r="F160" s="3"/>
      <c r="G160" s="285"/>
      <c r="H160" s="155"/>
      <c r="I160" s="90"/>
      <c r="J160" s="303"/>
      <c r="K160" s="31"/>
    </row>
    <row r="161" spans="1:11" ht="12.75">
      <c r="A161" s="180"/>
      <c r="B161" s="181"/>
      <c r="C161" s="182"/>
      <c r="D161" s="208" t="s">
        <v>475</v>
      </c>
      <c r="E161" s="195">
        <f>0.665*1.91*0.3+0.445*1.55*0.3</f>
        <v>0.5879700000000001</v>
      </c>
      <c r="F161" s="3"/>
      <c r="G161" s="285"/>
      <c r="H161" s="186"/>
      <c r="I161" s="90"/>
      <c r="J161" s="303"/>
      <c r="K161" s="209"/>
    </row>
    <row r="162" spans="1:11" ht="38.25">
      <c r="A162" s="190">
        <f>A158+1</f>
        <v>33</v>
      </c>
      <c r="B162" s="193" t="s">
        <v>168</v>
      </c>
      <c r="C162" s="182"/>
      <c r="D162" s="152" t="s">
        <v>478</v>
      </c>
      <c r="E162" s="184" t="s">
        <v>400</v>
      </c>
      <c r="F162" s="7">
        <f>2*(1.8+0.7)*0.6</f>
        <v>3</v>
      </c>
      <c r="G162" s="285"/>
      <c r="H162" s="155">
        <f aca="true" t="shared" si="10" ref="H162:H168">F162*G162</f>
        <v>0</v>
      </c>
      <c r="I162" s="197" t="s">
        <v>104</v>
      </c>
      <c r="J162" s="303"/>
      <c r="K162" s="209"/>
    </row>
    <row r="163" spans="1:11" ht="12.75">
      <c r="A163" s="190">
        <f>A162+1</f>
        <v>34</v>
      </c>
      <c r="B163" s="193" t="s">
        <v>168</v>
      </c>
      <c r="C163" s="182"/>
      <c r="D163" s="152" t="s">
        <v>479</v>
      </c>
      <c r="E163" s="184" t="s">
        <v>400</v>
      </c>
      <c r="F163" s="7">
        <f>0.77*1.2</f>
        <v>0.9239999999999999</v>
      </c>
      <c r="G163" s="285"/>
      <c r="H163" s="155">
        <f t="shared" si="10"/>
        <v>0</v>
      </c>
      <c r="I163" s="197" t="s">
        <v>104</v>
      </c>
      <c r="J163" s="303"/>
      <c r="K163" s="209"/>
    </row>
    <row r="164" spans="1:18" ht="12.75">
      <c r="A164" s="190">
        <f>A163+1</f>
        <v>35</v>
      </c>
      <c r="B164" s="274" t="s">
        <v>948</v>
      </c>
      <c r="C164" s="182"/>
      <c r="D164" s="152" t="s">
        <v>480</v>
      </c>
      <c r="E164" s="184" t="s">
        <v>399</v>
      </c>
      <c r="F164" s="3">
        <v>1</v>
      </c>
      <c r="G164" s="285"/>
      <c r="H164" s="155">
        <f t="shared" si="10"/>
        <v>0</v>
      </c>
      <c r="I164" s="197" t="s">
        <v>101</v>
      </c>
      <c r="K164" s="31"/>
      <c r="O164" s="74"/>
      <c r="R164" s="34"/>
    </row>
    <row r="165" spans="1:18" ht="12.75">
      <c r="A165" s="190">
        <f aca="true" t="shared" si="11" ref="A165:A176">A164+1</f>
        <v>36</v>
      </c>
      <c r="B165" s="210" t="s">
        <v>171</v>
      </c>
      <c r="C165" s="182"/>
      <c r="D165" s="152" t="s">
        <v>170</v>
      </c>
      <c r="E165" s="184" t="s">
        <v>403</v>
      </c>
      <c r="F165" s="3">
        <f>0.455+0.445+0.46+0.42+0.15+0.665</f>
        <v>2.5949999999999998</v>
      </c>
      <c r="G165" s="285"/>
      <c r="H165" s="155">
        <f t="shared" si="10"/>
        <v>0</v>
      </c>
      <c r="I165" s="197" t="s">
        <v>104</v>
      </c>
      <c r="K165" s="31"/>
      <c r="O165" s="74"/>
      <c r="R165" s="34"/>
    </row>
    <row r="166" spans="1:11" ht="51">
      <c r="A166" s="190">
        <f t="shared" si="11"/>
        <v>37</v>
      </c>
      <c r="B166" s="188" t="s">
        <v>438</v>
      </c>
      <c r="C166" s="182" t="s">
        <v>215</v>
      </c>
      <c r="D166" s="152" t="s">
        <v>439</v>
      </c>
      <c r="E166" s="153" t="s">
        <v>400</v>
      </c>
      <c r="F166" s="7">
        <f>3.17*3.45</f>
        <v>10.9365</v>
      </c>
      <c r="G166" s="285"/>
      <c r="H166" s="186">
        <f t="shared" si="10"/>
        <v>0</v>
      </c>
      <c r="I166" s="90" t="s">
        <v>104</v>
      </c>
      <c r="K166" s="31"/>
    </row>
    <row r="167" spans="1:10" s="99" customFormat="1" ht="25.5">
      <c r="A167" s="190">
        <f t="shared" si="11"/>
        <v>38</v>
      </c>
      <c r="B167" s="188" t="s">
        <v>481</v>
      </c>
      <c r="C167" s="151"/>
      <c r="D167" s="152" t="s">
        <v>482</v>
      </c>
      <c r="E167" s="153" t="s">
        <v>400</v>
      </c>
      <c r="F167" s="7">
        <f>+F166</f>
        <v>10.9365</v>
      </c>
      <c r="G167" s="285"/>
      <c r="H167" s="155">
        <f t="shared" si="10"/>
        <v>0</v>
      </c>
      <c r="I167" s="36" t="s">
        <v>104</v>
      </c>
      <c r="J167" s="296"/>
    </row>
    <row r="168" spans="1:18" ht="12.75">
      <c r="A168" s="180">
        <f t="shared" si="11"/>
        <v>39</v>
      </c>
      <c r="B168" s="187" t="s">
        <v>172</v>
      </c>
      <c r="C168" s="182"/>
      <c r="D168" s="152" t="s">
        <v>957</v>
      </c>
      <c r="E168" s="153" t="s">
        <v>402</v>
      </c>
      <c r="F168" s="7">
        <v>1</v>
      </c>
      <c r="G168" s="285"/>
      <c r="H168" s="155">
        <f t="shared" si="10"/>
        <v>0</v>
      </c>
      <c r="I168" s="197" t="s">
        <v>104</v>
      </c>
      <c r="J168" s="303"/>
      <c r="K168" s="31"/>
      <c r="L168" s="211"/>
      <c r="M168" s="211"/>
      <c r="R168" s="34"/>
    </row>
    <row r="169" spans="1:11" ht="51">
      <c r="A169" s="190">
        <f t="shared" si="11"/>
        <v>40</v>
      </c>
      <c r="B169" s="187" t="s">
        <v>486</v>
      </c>
      <c r="C169" s="182" t="s">
        <v>411</v>
      </c>
      <c r="D169" s="152" t="s">
        <v>485</v>
      </c>
      <c r="E169" s="153" t="s">
        <v>400</v>
      </c>
      <c r="F169" s="7">
        <f>3.5*3.45</f>
        <v>12.075000000000001</v>
      </c>
      <c r="G169" s="285"/>
      <c r="H169" s="186">
        <f aca="true" t="shared" si="12" ref="H169:H176">F169*G169</f>
        <v>0</v>
      </c>
      <c r="I169" s="90" t="s">
        <v>104</v>
      </c>
      <c r="K169" s="31"/>
    </row>
    <row r="170" spans="1:10" s="99" customFormat="1" ht="25.5">
      <c r="A170" s="190">
        <f t="shared" si="11"/>
        <v>41</v>
      </c>
      <c r="B170" s="188" t="s">
        <v>487</v>
      </c>
      <c r="C170" s="151"/>
      <c r="D170" s="152" t="s">
        <v>488</v>
      </c>
      <c r="E170" s="153" t="s">
        <v>400</v>
      </c>
      <c r="F170" s="7">
        <f>+F169</f>
        <v>12.075000000000001</v>
      </c>
      <c r="G170" s="285"/>
      <c r="H170" s="155">
        <f t="shared" si="12"/>
        <v>0</v>
      </c>
      <c r="I170" s="36" t="s">
        <v>104</v>
      </c>
      <c r="J170" s="296"/>
    </row>
    <row r="171" spans="1:18" ht="25.5">
      <c r="A171" s="180">
        <f>A169+1</f>
        <v>41</v>
      </c>
      <c r="B171" s="187" t="s">
        <v>484</v>
      </c>
      <c r="C171" s="182"/>
      <c r="D171" s="152" t="s">
        <v>483</v>
      </c>
      <c r="E171" s="153" t="s">
        <v>402</v>
      </c>
      <c r="F171" s="7">
        <v>6</v>
      </c>
      <c r="G171" s="285"/>
      <c r="H171" s="155">
        <f>F171*G171</f>
        <v>0</v>
      </c>
      <c r="I171" s="197" t="s">
        <v>104</v>
      </c>
      <c r="J171" s="303"/>
      <c r="K171" s="31"/>
      <c r="L171" s="211"/>
      <c r="M171" s="211"/>
      <c r="R171" s="34"/>
    </row>
    <row r="172" spans="1:11" ht="12.75">
      <c r="A172" s="190">
        <f>A171+1</f>
        <v>42</v>
      </c>
      <c r="B172" s="181" t="s">
        <v>330</v>
      </c>
      <c r="C172" s="189"/>
      <c r="D172" s="183" t="s">
        <v>39</v>
      </c>
      <c r="E172" s="184" t="s">
        <v>400</v>
      </c>
      <c r="F172" s="3">
        <f>+F166+F169-0.6*3.5</f>
        <v>20.9115</v>
      </c>
      <c r="G172" s="285"/>
      <c r="H172" s="186">
        <f t="shared" si="12"/>
        <v>0</v>
      </c>
      <c r="I172" s="90" t="s">
        <v>104</v>
      </c>
      <c r="K172" s="31"/>
    </row>
    <row r="173" spans="1:11" ht="12.75">
      <c r="A173" s="180">
        <f t="shared" si="11"/>
        <v>43</v>
      </c>
      <c r="B173" s="181" t="s">
        <v>169</v>
      </c>
      <c r="C173" s="182"/>
      <c r="D173" s="183" t="s">
        <v>306</v>
      </c>
      <c r="E173" s="184" t="s">
        <v>403</v>
      </c>
      <c r="F173" s="3">
        <f>3.17</f>
        <v>3.17</v>
      </c>
      <c r="G173" s="286"/>
      <c r="H173" s="186">
        <f t="shared" si="12"/>
        <v>0</v>
      </c>
      <c r="I173" s="90" t="s">
        <v>104</v>
      </c>
      <c r="K173" s="31"/>
    </row>
    <row r="174" spans="1:9" ht="12.75">
      <c r="A174" s="180">
        <f t="shared" si="11"/>
        <v>44</v>
      </c>
      <c r="B174" s="210" t="s">
        <v>305</v>
      </c>
      <c r="C174" s="182" t="s">
        <v>960</v>
      </c>
      <c r="D174" s="183" t="s">
        <v>377</v>
      </c>
      <c r="E174" s="184" t="s">
        <v>402</v>
      </c>
      <c r="F174" s="3">
        <v>2</v>
      </c>
      <c r="G174" s="285"/>
      <c r="H174" s="186">
        <f t="shared" si="12"/>
        <v>0</v>
      </c>
      <c r="I174" s="90" t="s">
        <v>104</v>
      </c>
    </row>
    <row r="175" spans="1:10" s="99" customFormat="1" ht="38.25">
      <c r="A175" s="180">
        <f t="shared" si="11"/>
        <v>45</v>
      </c>
      <c r="B175" s="212" t="s">
        <v>787</v>
      </c>
      <c r="C175" s="213" t="s">
        <v>412</v>
      </c>
      <c r="D175" s="214" t="s">
        <v>415</v>
      </c>
      <c r="E175" s="215" t="s">
        <v>402</v>
      </c>
      <c r="F175" s="216">
        <v>3</v>
      </c>
      <c r="G175" s="287"/>
      <c r="H175" s="217">
        <f t="shared" si="12"/>
        <v>0</v>
      </c>
      <c r="I175" s="36" t="s">
        <v>104</v>
      </c>
      <c r="J175" s="296"/>
    </row>
    <row r="176" spans="1:9" ht="12.75">
      <c r="A176" s="180">
        <f t="shared" si="11"/>
        <v>46</v>
      </c>
      <c r="B176" s="187" t="s">
        <v>788</v>
      </c>
      <c r="C176" s="218" t="s">
        <v>378</v>
      </c>
      <c r="D176" s="219" t="s">
        <v>206</v>
      </c>
      <c r="E176" s="220" t="s">
        <v>402</v>
      </c>
      <c r="F176" s="4">
        <v>1</v>
      </c>
      <c r="G176" s="287"/>
      <c r="H176" s="221">
        <f t="shared" si="12"/>
        <v>0</v>
      </c>
      <c r="I176" s="90" t="s">
        <v>104</v>
      </c>
    </row>
    <row r="177" spans="1:9" ht="13.5" thickBot="1">
      <c r="A177" s="31">
        <f>A176+1</f>
        <v>47</v>
      </c>
      <c r="B177" s="187" t="s">
        <v>753</v>
      </c>
      <c r="C177" s="182"/>
      <c r="D177" s="222" t="s">
        <v>20</v>
      </c>
      <c r="E177" s="184" t="s">
        <v>408</v>
      </c>
      <c r="F177" s="3">
        <f>+H152+H154+H156+H158+H162+H163+H164+H165+H166+H169+H175+H176</f>
        <v>0</v>
      </c>
      <c r="G177" s="288"/>
      <c r="H177" s="186">
        <f>F177*G177</f>
        <v>0</v>
      </c>
      <c r="I177" s="90" t="s">
        <v>104</v>
      </c>
    </row>
    <row r="178" spans="1:9" ht="13.5" thickBot="1">
      <c r="A178" s="180"/>
      <c r="B178" s="181"/>
      <c r="C178" s="182"/>
      <c r="D178" s="162" t="s">
        <v>401</v>
      </c>
      <c r="E178" s="163"/>
      <c r="F178" s="223"/>
      <c r="G178" s="224"/>
      <c r="H178" s="203">
        <f>SUBTOTAL(9,H152:H177)</f>
        <v>0</v>
      </c>
      <c r="I178" s="90"/>
    </row>
    <row r="179" spans="1:9" ht="12.75">
      <c r="A179" s="180"/>
      <c r="B179" s="181"/>
      <c r="C179" s="182"/>
      <c r="D179" s="204"/>
      <c r="E179" s="168"/>
      <c r="F179" s="64"/>
      <c r="G179" s="107"/>
      <c r="H179" s="205"/>
      <c r="I179" s="90"/>
    </row>
    <row r="180" spans="1:9" ht="16.5">
      <c r="A180" s="180"/>
      <c r="B180" s="181"/>
      <c r="C180" s="176" t="s">
        <v>10</v>
      </c>
      <c r="D180" s="225" t="s">
        <v>146</v>
      </c>
      <c r="E180" s="142"/>
      <c r="F180" s="206"/>
      <c r="G180" s="142"/>
      <c r="H180" s="142"/>
      <c r="I180" s="90"/>
    </row>
    <row r="181" spans="1:11" ht="90.75" customHeight="1">
      <c r="A181" s="180"/>
      <c r="B181" s="181"/>
      <c r="C181" s="176"/>
      <c r="D181" s="316" t="s">
        <v>36</v>
      </c>
      <c r="E181" s="316"/>
      <c r="F181" s="316"/>
      <c r="G181" s="226"/>
      <c r="H181" s="226"/>
      <c r="I181" s="90"/>
      <c r="K181" s="227"/>
    </row>
    <row r="182" spans="1:11" ht="51">
      <c r="A182" s="180">
        <f>A177+1</f>
        <v>48</v>
      </c>
      <c r="B182" s="187" t="s">
        <v>890</v>
      </c>
      <c r="C182" s="182" t="s">
        <v>207</v>
      </c>
      <c r="D182" s="183" t="s">
        <v>887</v>
      </c>
      <c r="E182" s="184" t="s">
        <v>400</v>
      </c>
      <c r="F182" s="3">
        <f>3.9+1.32+4.47</f>
        <v>9.69</v>
      </c>
      <c r="G182" s="285"/>
      <c r="H182" s="186">
        <f>F182*G182</f>
        <v>0</v>
      </c>
      <c r="I182" s="90" t="s">
        <v>104</v>
      </c>
      <c r="K182" s="31"/>
    </row>
    <row r="183" spans="1:11" ht="12.75">
      <c r="A183" s="180"/>
      <c r="B183" s="181"/>
      <c r="C183" s="228"/>
      <c r="D183" s="208" t="s">
        <v>490</v>
      </c>
      <c r="E183" s="153"/>
      <c r="F183" s="7"/>
      <c r="G183" s="285"/>
      <c r="H183" s="155"/>
      <c r="K183" s="31"/>
    </row>
    <row r="184" spans="1:11" ht="38.25">
      <c r="A184" s="180">
        <f>A182+1</f>
        <v>49</v>
      </c>
      <c r="B184" s="187" t="s">
        <v>891</v>
      </c>
      <c r="C184" s="189" t="s">
        <v>181</v>
      </c>
      <c r="D184" s="183" t="s">
        <v>888</v>
      </c>
      <c r="E184" s="184" t="s">
        <v>400</v>
      </c>
      <c r="F184" s="3">
        <f>11.29+(0.25+0.27)*3.5+(0.3+2*0.4)*0.8</f>
        <v>13.99</v>
      </c>
      <c r="G184" s="285"/>
      <c r="H184" s="186">
        <f aca="true" t="shared" si="13" ref="H184:H199">F184*G184</f>
        <v>0</v>
      </c>
      <c r="I184" s="90" t="s">
        <v>104</v>
      </c>
      <c r="K184" s="31"/>
    </row>
    <row r="185" spans="1:11" ht="12.75">
      <c r="A185" s="180"/>
      <c r="B185" s="181"/>
      <c r="C185" s="189"/>
      <c r="D185" s="208" t="s">
        <v>489</v>
      </c>
      <c r="E185" s="184"/>
      <c r="F185" s="3"/>
      <c r="G185" s="285"/>
      <c r="H185" s="186"/>
      <c r="I185" s="90"/>
      <c r="K185" s="31"/>
    </row>
    <row r="186" spans="1:11" ht="25.5">
      <c r="A186" s="180">
        <f>A184+1</f>
        <v>50</v>
      </c>
      <c r="B186" s="181" t="s">
        <v>178</v>
      </c>
      <c r="C186" s="182" t="s">
        <v>208</v>
      </c>
      <c r="D186" s="152" t="s">
        <v>216</v>
      </c>
      <c r="E186" s="184" t="s">
        <v>400</v>
      </c>
      <c r="F186" s="3">
        <f>+F182+F184</f>
        <v>23.68</v>
      </c>
      <c r="G186" s="285"/>
      <c r="H186" s="186">
        <f t="shared" si="13"/>
        <v>0</v>
      </c>
      <c r="I186" s="90" t="s">
        <v>104</v>
      </c>
      <c r="K186" s="31"/>
    </row>
    <row r="187" spans="1:18" ht="16.5">
      <c r="A187" s="180">
        <f aca="true" t="shared" si="14" ref="A187:A196">A186+1</f>
        <v>51</v>
      </c>
      <c r="B187" s="187" t="s">
        <v>789</v>
      </c>
      <c r="C187" s="218" t="s">
        <v>277</v>
      </c>
      <c r="D187" s="219" t="s">
        <v>276</v>
      </c>
      <c r="E187" s="220" t="s">
        <v>400</v>
      </c>
      <c r="F187" s="4">
        <f>F186*1.1</f>
        <v>26.048000000000002</v>
      </c>
      <c r="G187" s="287"/>
      <c r="H187" s="221">
        <f t="shared" si="13"/>
        <v>0</v>
      </c>
      <c r="I187" s="197" t="s">
        <v>104</v>
      </c>
      <c r="J187" s="304"/>
      <c r="K187" s="230" t="s">
        <v>551</v>
      </c>
      <c r="O187" s="74"/>
      <c r="R187" s="34"/>
    </row>
    <row r="188" spans="1:18" ht="14.25" customHeight="1">
      <c r="A188" s="180">
        <f t="shared" si="14"/>
        <v>52</v>
      </c>
      <c r="B188" s="187" t="s">
        <v>174</v>
      </c>
      <c r="C188" s="182" t="s">
        <v>209</v>
      </c>
      <c r="D188" s="183" t="s">
        <v>278</v>
      </c>
      <c r="E188" s="184" t="s">
        <v>400</v>
      </c>
      <c r="F188" s="3">
        <f>+F182</f>
        <v>9.69</v>
      </c>
      <c r="G188" s="285"/>
      <c r="H188" s="186">
        <f>F188*G188</f>
        <v>0</v>
      </c>
      <c r="I188" s="197" t="s">
        <v>104</v>
      </c>
      <c r="J188" s="305"/>
      <c r="K188" s="31"/>
      <c r="R188" s="34"/>
    </row>
    <row r="189" spans="1:18" ht="25.5">
      <c r="A189" s="180">
        <f t="shared" si="14"/>
        <v>53</v>
      </c>
      <c r="B189" s="187" t="s">
        <v>176</v>
      </c>
      <c r="C189" s="182" t="s">
        <v>210</v>
      </c>
      <c r="D189" s="183" t="s">
        <v>177</v>
      </c>
      <c r="E189" s="184" t="s">
        <v>403</v>
      </c>
      <c r="F189" s="3">
        <f>8.84+4.97+8.84</f>
        <v>22.65</v>
      </c>
      <c r="G189" s="285"/>
      <c r="H189" s="186">
        <f>F189*G189</f>
        <v>0</v>
      </c>
      <c r="I189" s="197" t="s">
        <v>104</v>
      </c>
      <c r="J189" s="305"/>
      <c r="K189" s="31"/>
      <c r="R189" s="34"/>
    </row>
    <row r="190" spans="1:18" ht="25.5">
      <c r="A190" s="180">
        <f t="shared" si="14"/>
        <v>54</v>
      </c>
      <c r="B190" s="181" t="s">
        <v>175</v>
      </c>
      <c r="C190" s="182" t="s">
        <v>350</v>
      </c>
      <c r="D190" s="183" t="s">
        <v>958</v>
      </c>
      <c r="E190" s="184" t="s">
        <v>402</v>
      </c>
      <c r="F190" s="3">
        <v>3</v>
      </c>
      <c r="G190" s="285"/>
      <c r="H190" s="186">
        <f>F190*G190</f>
        <v>0</v>
      </c>
      <c r="I190" s="197" t="s">
        <v>104</v>
      </c>
      <c r="J190" s="305"/>
      <c r="K190" s="31"/>
      <c r="R190" s="34"/>
    </row>
    <row r="191" spans="1:18" ht="25.5">
      <c r="A191" s="180">
        <f t="shared" si="14"/>
        <v>55</v>
      </c>
      <c r="B191" s="181">
        <v>67352326</v>
      </c>
      <c r="C191" s="218" t="s">
        <v>98</v>
      </c>
      <c r="D191" s="219" t="s">
        <v>173</v>
      </c>
      <c r="E191" s="220" t="s">
        <v>400</v>
      </c>
      <c r="F191" s="4">
        <f>+F188*1.1</f>
        <v>10.659</v>
      </c>
      <c r="G191" s="287"/>
      <c r="H191" s="221">
        <f t="shared" si="13"/>
        <v>0</v>
      </c>
      <c r="I191" s="197" t="s">
        <v>104</v>
      </c>
      <c r="K191" s="31"/>
      <c r="O191" s="74"/>
      <c r="R191" s="34"/>
    </row>
    <row r="192" spans="1:9" ht="12.75">
      <c r="A192" s="180">
        <f t="shared" si="14"/>
        <v>56</v>
      </c>
      <c r="B192" s="181" t="s">
        <v>331</v>
      </c>
      <c r="C192" s="218"/>
      <c r="D192" s="183" t="s">
        <v>373</v>
      </c>
      <c r="E192" s="184" t="s">
        <v>400</v>
      </c>
      <c r="F192" s="3">
        <f>+F182+(0.25+0.27)*3.5+(0.3+2*0.4)*0.8</f>
        <v>12.39</v>
      </c>
      <c r="G192" s="286"/>
      <c r="H192" s="186">
        <f t="shared" si="13"/>
        <v>0</v>
      </c>
      <c r="I192" s="90" t="s">
        <v>104</v>
      </c>
    </row>
    <row r="193" spans="1:9" ht="25.5">
      <c r="A193" s="180">
        <f t="shared" si="14"/>
        <v>57</v>
      </c>
      <c r="B193" s="231" t="s">
        <v>569</v>
      </c>
      <c r="C193" s="182" t="s">
        <v>568</v>
      </c>
      <c r="D193" s="152" t="s">
        <v>570</v>
      </c>
      <c r="E193" s="153" t="s">
        <v>403</v>
      </c>
      <c r="F193" s="7">
        <v>3.17</v>
      </c>
      <c r="G193" s="285"/>
      <c r="H193" s="155">
        <f t="shared" si="13"/>
        <v>0</v>
      </c>
      <c r="I193" s="197" t="s">
        <v>104</v>
      </c>
    </row>
    <row r="194" spans="1:9" ht="12.75">
      <c r="A194" s="180">
        <f t="shared" si="14"/>
        <v>58</v>
      </c>
      <c r="B194" s="231" t="s">
        <v>969</v>
      </c>
      <c r="C194" s="182" t="s">
        <v>350</v>
      </c>
      <c r="D194" s="152" t="s">
        <v>968</v>
      </c>
      <c r="E194" s="153" t="s">
        <v>400</v>
      </c>
      <c r="F194" s="7">
        <f>(0.08+0.1)*2*2.75</f>
        <v>0.99</v>
      </c>
      <c r="G194" s="285"/>
      <c r="H194" s="155">
        <f t="shared" si="13"/>
        <v>0</v>
      </c>
      <c r="I194" s="197" t="s">
        <v>104</v>
      </c>
    </row>
    <row r="195" spans="1:9" ht="12.75">
      <c r="A195" s="180">
        <f t="shared" si="14"/>
        <v>59</v>
      </c>
      <c r="B195" s="210" t="s">
        <v>790</v>
      </c>
      <c r="C195" s="182" t="s">
        <v>959</v>
      </c>
      <c r="D195" s="183" t="s">
        <v>180</v>
      </c>
      <c r="E195" s="184" t="s">
        <v>402</v>
      </c>
      <c r="F195" s="3">
        <f>+F197+F196</f>
        <v>5</v>
      </c>
      <c r="G195" s="285"/>
      <c r="H195" s="186">
        <f>F195*G195</f>
        <v>0</v>
      </c>
      <c r="I195" s="90" t="s">
        <v>104</v>
      </c>
    </row>
    <row r="196" spans="1:11" s="99" customFormat="1" ht="25.5">
      <c r="A196" s="180">
        <f t="shared" si="14"/>
        <v>60</v>
      </c>
      <c r="B196" s="212" t="s">
        <v>791</v>
      </c>
      <c r="C196" s="213" t="s">
        <v>961</v>
      </c>
      <c r="D196" s="214" t="s">
        <v>413</v>
      </c>
      <c r="E196" s="215" t="s">
        <v>402</v>
      </c>
      <c r="F196" s="216">
        <v>1</v>
      </c>
      <c r="G196" s="287"/>
      <c r="H196" s="217">
        <f>F196*G196</f>
        <v>0</v>
      </c>
      <c r="I196" s="36" t="s">
        <v>104</v>
      </c>
      <c r="J196" s="296"/>
      <c r="K196" s="230" t="s">
        <v>414</v>
      </c>
    </row>
    <row r="197" spans="1:11" ht="25.5">
      <c r="A197" s="180">
        <f>A196+1</f>
        <v>61</v>
      </c>
      <c r="B197" s="212" t="s">
        <v>791</v>
      </c>
      <c r="C197" s="218" t="s">
        <v>962</v>
      </c>
      <c r="D197" s="219" t="s">
        <v>179</v>
      </c>
      <c r="E197" s="220" t="s">
        <v>402</v>
      </c>
      <c r="F197" s="4">
        <v>4</v>
      </c>
      <c r="G197" s="287"/>
      <c r="H197" s="221">
        <f t="shared" si="13"/>
        <v>0</v>
      </c>
      <c r="I197" s="90" t="s">
        <v>104</v>
      </c>
      <c r="K197" s="230" t="s">
        <v>550</v>
      </c>
    </row>
    <row r="198" spans="1:11" ht="12.75">
      <c r="A198" s="180">
        <f>A197+1</f>
        <v>62</v>
      </c>
      <c r="B198" s="181" t="s">
        <v>330</v>
      </c>
      <c r="C198" s="182" t="s">
        <v>208</v>
      </c>
      <c r="D198" s="183" t="s">
        <v>39</v>
      </c>
      <c r="E198" s="184" t="s">
        <v>400</v>
      </c>
      <c r="F198" s="3">
        <f>F184+F182</f>
        <v>23.68</v>
      </c>
      <c r="G198" s="285"/>
      <c r="H198" s="186">
        <f t="shared" si="13"/>
        <v>0</v>
      </c>
      <c r="I198" s="232" t="s">
        <v>104</v>
      </c>
      <c r="K198" s="227"/>
    </row>
    <row r="199" spans="1:9" ht="13.5" thickBot="1">
      <c r="A199" s="180">
        <f>A198+1</f>
        <v>63</v>
      </c>
      <c r="B199" s="187" t="s">
        <v>753</v>
      </c>
      <c r="C199" s="182"/>
      <c r="D199" s="183" t="s">
        <v>17</v>
      </c>
      <c r="E199" s="233" t="s">
        <v>408</v>
      </c>
      <c r="F199" s="3">
        <f>+H182+H184+H187+H191+H193+H196+H197</f>
        <v>0</v>
      </c>
      <c r="G199" s="289"/>
      <c r="H199" s="234">
        <f t="shared" si="13"/>
        <v>0</v>
      </c>
      <c r="I199" s="90" t="s">
        <v>104</v>
      </c>
    </row>
    <row r="200" spans="1:9" ht="13.5" thickBot="1">
      <c r="A200" s="180"/>
      <c r="B200" s="181"/>
      <c r="C200" s="182"/>
      <c r="D200" s="162" t="s">
        <v>401</v>
      </c>
      <c r="E200" s="163"/>
      <c r="F200" s="223"/>
      <c r="G200" s="224"/>
      <c r="H200" s="203">
        <f>SUBTOTAL(9,H182:H199)</f>
        <v>0</v>
      </c>
      <c r="I200" s="90"/>
    </row>
    <row r="201" spans="1:9" ht="12.75">
      <c r="A201" s="180"/>
      <c r="B201" s="181"/>
      <c r="C201" s="182"/>
      <c r="D201" s="204"/>
      <c r="E201" s="168"/>
      <c r="F201" s="64"/>
      <c r="G201" s="107"/>
      <c r="H201" s="205"/>
      <c r="I201" s="90"/>
    </row>
    <row r="202" spans="1:9" ht="16.5">
      <c r="A202" s="180"/>
      <c r="B202" s="181"/>
      <c r="C202" s="207" t="s">
        <v>11</v>
      </c>
      <c r="D202" s="142" t="s">
        <v>109</v>
      </c>
      <c r="E202" s="142"/>
      <c r="F202" s="206"/>
      <c r="G202" s="142"/>
      <c r="H202" s="142"/>
      <c r="I202" s="90"/>
    </row>
    <row r="203" spans="1:11" ht="42" customHeight="1">
      <c r="A203" s="180"/>
      <c r="B203" s="181"/>
      <c r="C203" s="182"/>
      <c r="D203" s="318" t="s">
        <v>27</v>
      </c>
      <c r="E203" s="318"/>
      <c r="F203" s="318"/>
      <c r="G203" s="235"/>
      <c r="H203" s="235"/>
      <c r="I203" s="232"/>
      <c r="K203" s="227"/>
    </row>
    <row r="204" spans="1:9" ht="25.5">
      <c r="A204" s="180">
        <f>A199+1</f>
        <v>64</v>
      </c>
      <c r="B204" s="187" t="s">
        <v>332</v>
      </c>
      <c r="C204" s="182"/>
      <c r="D204" s="183" t="s">
        <v>497</v>
      </c>
      <c r="E204" s="184" t="s">
        <v>400</v>
      </c>
      <c r="F204" s="3">
        <f>+E205+E206+E207+E208+E209+E210+E211+E212</f>
        <v>302.53782499999994</v>
      </c>
      <c r="G204" s="285"/>
      <c r="H204" s="186">
        <f>F204*G204</f>
        <v>0</v>
      </c>
      <c r="I204" s="90" t="s">
        <v>101</v>
      </c>
    </row>
    <row r="205" spans="1:9" ht="12.75">
      <c r="A205" s="180"/>
      <c r="B205" s="181"/>
      <c r="C205" s="182"/>
      <c r="D205" s="236" t="s">
        <v>491</v>
      </c>
      <c r="E205" s="195">
        <f>14.6*3.43-4*2.35*1.15-0.75*2.1-0.8*2.1</f>
        <v>36.013</v>
      </c>
      <c r="F205" s="3"/>
      <c r="G205" s="285"/>
      <c r="H205" s="186"/>
      <c r="I205" s="90"/>
    </row>
    <row r="206" spans="1:9" ht="25.5">
      <c r="A206" s="180"/>
      <c r="B206" s="181"/>
      <c r="C206" s="182"/>
      <c r="D206" s="236" t="s">
        <v>505</v>
      </c>
      <c r="E206" s="195">
        <f>16.8*3.42-2.35*1.15-1.245*2.13-0.75*2.1-0.65*2.1+15.66-3.1*1.5-0.6*1.8</f>
        <v>59.091649999999994</v>
      </c>
      <c r="F206" s="3"/>
      <c r="G206" s="285"/>
      <c r="H206" s="186"/>
      <c r="I206" s="90"/>
    </row>
    <row r="207" spans="1:9" ht="25.5">
      <c r="A207" s="180"/>
      <c r="B207" s="181"/>
      <c r="C207" s="182"/>
      <c r="D207" s="236" t="s">
        <v>499</v>
      </c>
      <c r="E207" s="195">
        <f>+(12.45-0.855)*3.45-2.315*1.2-1.035*2.155-0.75*2.1-0.65*2.1-0.46*1.62+5.1</f>
        <v>36.409124999999996</v>
      </c>
      <c r="F207" s="3"/>
      <c r="G207" s="285"/>
      <c r="H207" s="186"/>
      <c r="I207" s="90"/>
    </row>
    <row r="208" spans="1:9" ht="12.75">
      <c r="A208" s="180"/>
      <c r="B208" s="181"/>
      <c r="C208" s="182"/>
      <c r="D208" s="236" t="s">
        <v>509</v>
      </c>
      <c r="E208" s="195">
        <f>4.73*2.5-0.6*0.75+0.3+0.3</f>
        <v>11.975000000000003</v>
      </c>
      <c r="F208" s="3"/>
      <c r="G208" s="285"/>
      <c r="H208" s="186"/>
      <c r="I208" s="90"/>
    </row>
    <row r="209" spans="1:9" ht="12.75">
      <c r="A209" s="180"/>
      <c r="B209" s="181"/>
      <c r="C209" s="182"/>
      <c r="D209" s="236" t="s">
        <v>495</v>
      </c>
      <c r="E209" s="195">
        <f>+(9.448-2.12)*1.55</f>
        <v>11.358400000000001</v>
      </c>
      <c r="F209" s="3"/>
      <c r="G209" s="285"/>
      <c r="H209" s="186"/>
      <c r="I209" s="90"/>
    </row>
    <row r="210" spans="1:9" ht="12.75">
      <c r="A210" s="180"/>
      <c r="B210" s="181"/>
      <c r="C210" s="182"/>
      <c r="D210" s="236" t="s">
        <v>493</v>
      </c>
      <c r="E210" s="195">
        <f>+20.88*3.425-2*2.35*1.15-1.815*2.18</f>
        <v>62.1523</v>
      </c>
      <c r="F210" s="3"/>
      <c r="G210" s="285"/>
      <c r="H210" s="186"/>
      <c r="I210" s="90"/>
    </row>
    <row r="211" spans="1:9" ht="25.5">
      <c r="A211" s="180"/>
      <c r="B211" s="181"/>
      <c r="C211" s="182"/>
      <c r="D211" s="236" t="s">
        <v>496</v>
      </c>
      <c r="E211" s="195">
        <f>+(27.81-3.5)*3.45-3*2.35*1.15-1.83*2.965-2*0.535*2.15-1.83*2.15</f>
        <v>64.10105</v>
      </c>
      <c r="F211" s="3"/>
      <c r="G211" s="285"/>
      <c r="H211" s="186"/>
      <c r="I211" s="90"/>
    </row>
    <row r="212" spans="1:9" ht="12.75">
      <c r="A212" s="180"/>
      <c r="B212" s="181"/>
      <c r="C212" s="182"/>
      <c r="D212" s="236" t="s">
        <v>494</v>
      </c>
      <c r="E212" s="195">
        <f>8.58*3.45-2.35*1.15-1.845*2.96</f>
        <v>21.4373</v>
      </c>
      <c r="F212" s="3"/>
      <c r="G212" s="285"/>
      <c r="H212" s="186"/>
      <c r="I212" s="90"/>
    </row>
    <row r="213" spans="1:11" ht="12.75">
      <c r="A213" s="180">
        <f>A204+1</f>
        <v>65</v>
      </c>
      <c r="B213" s="181" t="s">
        <v>183</v>
      </c>
      <c r="C213" s="189" t="s">
        <v>112</v>
      </c>
      <c r="D213" s="183" t="s">
        <v>182</v>
      </c>
      <c r="E213" s="184" t="s">
        <v>400</v>
      </c>
      <c r="F213" s="3">
        <f>+F204</f>
        <v>302.53782499999994</v>
      </c>
      <c r="G213" s="285"/>
      <c r="H213" s="186">
        <f>F213*G213</f>
        <v>0</v>
      </c>
      <c r="I213" s="232" t="s">
        <v>101</v>
      </c>
      <c r="K213" s="229"/>
    </row>
    <row r="214" spans="1:11" ht="12.75">
      <c r="A214" s="180">
        <f>A213+1</f>
        <v>66</v>
      </c>
      <c r="B214" s="181" t="s">
        <v>186</v>
      </c>
      <c r="C214" s="189" t="s">
        <v>350</v>
      </c>
      <c r="D214" s="183" t="s">
        <v>188</v>
      </c>
      <c r="E214" s="184" t="s">
        <v>400</v>
      </c>
      <c r="F214" s="3">
        <f>F215</f>
        <v>23.630499999999998</v>
      </c>
      <c r="G214" s="285"/>
      <c r="H214" s="186">
        <f>F214*G214</f>
        <v>0</v>
      </c>
      <c r="I214" s="232" t="s">
        <v>101</v>
      </c>
      <c r="K214" s="229"/>
    </row>
    <row r="215" spans="1:11" ht="25.5">
      <c r="A215" s="180">
        <f>A214+1</f>
        <v>67</v>
      </c>
      <c r="B215" s="181" t="s">
        <v>185</v>
      </c>
      <c r="C215" s="189"/>
      <c r="D215" s="183" t="s">
        <v>184</v>
      </c>
      <c r="E215" s="184" t="s">
        <v>400</v>
      </c>
      <c r="F215" s="3">
        <f>(8.84-2.12)*2-0.8*2+4.97*1.5-0.75*1.5-0.42*0.1-0.455*0.5+3.1*1.5+0.6*1.8</f>
        <v>23.630499999999998</v>
      </c>
      <c r="G215" s="285"/>
      <c r="H215" s="186">
        <f>F215*G215</f>
        <v>0</v>
      </c>
      <c r="I215" s="232" t="s">
        <v>101</v>
      </c>
      <c r="K215" s="229"/>
    </row>
    <row r="216" spans="1:11" ht="12.75">
      <c r="A216" s="180">
        <f>A215+1</f>
        <v>68</v>
      </c>
      <c r="B216" s="181" t="s">
        <v>186</v>
      </c>
      <c r="C216" s="189" t="s">
        <v>350</v>
      </c>
      <c r="D216" s="183" t="s">
        <v>187</v>
      </c>
      <c r="E216" s="184" t="s">
        <v>400</v>
      </c>
      <c r="F216" s="3">
        <f>F217</f>
        <v>346.97162499999996</v>
      </c>
      <c r="G216" s="285"/>
      <c r="H216" s="186">
        <f>F216*G216</f>
        <v>0</v>
      </c>
      <c r="I216" s="232" t="s">
        <v>101</v>
      </c>
      <c r="K216" s="229"/>
    </row>
    <row r="217" spans="1:11" ht="25.5">
      <c r="A217" s="180">
        <f>A216+1</f>
        <v>69</v>
      </c>
      <c r="B217" s="181" t="s">
        <v>345</v>
      </c>
      <c r="C217" s="182" t="s">
        <v>113</v>
      </c>
      <c r="D217" s="152" t="s">
        <v>211</v>
      </c>
      <c r="E217" s="153" t="s">
        <v>400</v>
      </c>
      <c r="F217" s="3">
        <f>+E218+E219+E220+E221+E223+E224+E225+E222</f>
        <v>346.97162499999996</v>
      </c>
      <c r="G217" s="285"/>
      <c r="H217" s="155">
        <f>F217*G217</f>
        <v>0</v>
      </c>
      <c r="I217" s="232" t="s">
        <v>101</v>
      </c>
      <c r="K217" s="227"/>
    </row>
    <row r="218" spans="1:11" ht="12.75">
      <c r="A218" s="180"/>
      <c r="B218" s="181"/>
      <c r="C218" s="182"/>
      <c r="D218" s="236" t="s">
        <v>491</v>
      </c>
      <c r="E218" s="195">
        <f>14.6*3.43-4*2.35*1.15-0.75*2.1-0.8*2.1</f>
        <v>36.013</v>
      </c>
      <c r="F218" s="3"/>
      <c r="G218" s="285"/>
      <c r="H218" s="155"/>
      <c r="I218" s="232"/>
      <c r="K218" s="227"/>
    </row>
    <row r="219" spans="1:11" ht="25.5">
      <c r="A219" s="180"/>
      <c r="B219" s="181"/>
      <c r="C219" s="182"/>
      <c r="D219" s="236" t="s">
        <v>498</v>
      </c>
      <c r="E219" s="195">
        <f>16.8*3.42-2.35*1.15-1.245*2.13-0.75*2.1-0.65*2.1+15.66</f>
        <v>64.82164999999999</v>
      </c>
      <c r="F219" s="3"/>
      <c r="G219" s="285"/>
      <c r="H219" s="155"/>
      <c r="I219" s="232"/>
      <c r="K219" s="227"/>
    </row>
    <row r="220" spans="1:11" ht="12.75">
      <c r="A220" s="180"/>
      <c r="B220" s="181"/>
      <c r="C220" s="182"/>
      <c r="D220" s="236" t="s">
        <v>507</v>
      </c>
      <c r="E220" s="195">
        <f>+(12.45)*3.45-1.035*2.155-0.75*2.1-0.65*2.1+5.1</f>
        <v>42.882075</v>
      </c>
      <c r="F220" s="3"/>
      <c r="G220" s="285"/>
      <c r="H220" s="155"/>
      <c r="I220" s="232"/>
      <c r="K220" s="227"/>
    </row>
    <row r="221" spans="1:11" ht="12.75">
      <c r="A221" s="180"/>
      <c r="B221" s="181"/>
      <c r="C221" s="182"/>
      <c r="D221" s="236" t="s">
        <v>508</v>
      </c>
      <c r="E221" s="195">
        <f>14.2*2.5-0.75*2.1+0.3+0.3+0.15*(2*1.57+0.455)</f>
        <v>35.064249999999994</v>
      </c>
      <c r="F221" s="3"/>
      <c r="G221" s="285"/>
      <c r="H221" s="155"/>
      <c r="I221" s="232"/>
      <c r="K221" s="227"/>
    </row>
    <row r="222" spans="1:11" ht="12.75">
      <c r="A222" s="180"/>
      <c r="B222" s="181"/>
      <c r="C222" s="182"/>
      <c r="D222" s="236" t="s">
        <v>504</v>
      </c>
      <c r="E222" s="195">
        <f>8.84*2.5-0.8*2</f>
        <v>20.5</v>
      </c>
      <c r="F222" s="3"/>
      <c r="G222" s="285"/>
      <c r="H222" s="155"/>
      <c r="I222" s="232"/>
      <c r="K222" s="227"/>
    </row>
    <row r="223" spans="1:11" ht="12.75">
      <c r="A223" s="180"/>
      <c r="B223" s="181"/>
      <c r="C223" s="182"/>
      <c r="D223" s="236" t="s">
        <v>493</v>
      </c>
      <c r="E223" s="195">
        <f>+20.88*3.425-2*2.35*1.15-1.815*2.18</f>
        <v>62.1523</v>
      </c>
      <c r="F223" s="3"/>
      <c r="G223" s="285"/>
      <c r="H223" s="155"/>
      <c r="I223" s="232"/>
      <c r="K223" s="227"/>
    </row>
    <row r="224" spans="1:11" ht="25.5">
      <c r="A224" s="180"/>
      <c r="B224" s="181"/>
      <c r="C224" s="182"/>
      <c r="D224" s="236" t="s">
        <v>496</v>
      </c>
      <c r="E224" s="195">
        <f>+(27.81-3.5)*3.45-3*2.35*1.15-1.83*2.965-2*0.535*2.15-1.83*2.15</f>
        <v>64.10105</v>
      </c>
      <c r="F224" s="3"/>
      <c r="G224" s="285"/>
      <c r="H224" s="155"/>
      <c r="I224" s="232"/>
      <c r="K224" s="227"/>
    </row>
    <row r="225" spans="1:11" ht="12.75">
      <c r="A225" s="180"/>
      <c r="B225" s="181"/>
      <c r="C225" s="182"/>
      <c r="D225" s="236" t="s">
        <v>494</v>
      </c>
      <c r="E225" s="195">
        <f>8.58*3.45-2.35*1.15-1.845*2.96</f>
        <v>21.4373</v>
      </c>
      <c r="F225" s="237"/>
      <c r="G225" s="285"/>
      <c r="H225" s="155"/>
      <c r="I225" s="232"/>
      <c r="K225" s="227"/>
    </row>
    <row r="226" spans="1:11" ht="38.25">
      <c r="A226" s="180">
        <f>A217+1</f>
        <v>70</v>
      </c>
      <c r="B226" s="187" t="s">
        <v>338</v>
      </c>
      <c r="C226" s="182" t="s">
        <v>113</v>
      </c>
      <c r="D226" s="183" t="s">
        <v>193</v>
      </c>
      <c r="E226" s="184" t="s">
        <v>400</v>
      </c>
      <c r="F226" s="3">
        <f>+E227+E228+E229+E234+E230+E231+E232+E233</f>
        <v>302.32737499999996</v>
      </c>
      <c r="G226" s="285"/>
      <c r="H226" s="186">
        <f>F226*G226</f>
        <v>0</v>
      </c>
      <c r="I226" s="90" t="s">
        <v>101</v>
      </c>
      <c r="K226" s="227"/>
    </row>
    <row r="227" spans="1:11" ht="12.75">
      <c r="A227" s="180"/>
      <c r="B227" s="181"/>
      <c r="C227" s="182"/>
      <c r="D227" s="236" t="s">
        <v>491</v>
      </c>
      <c r="E227" s="195">
        <f>14.6*3.43-4*2.35*1.15-0.75*2.1-0.8*2.1</f>
        <v>36.013</v>
      </c>
      <c r="F227" s="3"/>
      <c r="G227" s="285"/>
      <c r="H227" s="186"/>
      <c r="I227" s="232"/>
      <c r="K227" s="227"/>
    </row>
    <row r="228" spans="1:11" ht="12.75">
      <c r="A228" s="180"/>
      <c r="B228" s="181"/>
      <c r="C228" s="182"/>
      <c r="D228" s="236" t="s">
        <v>492</v>
      </c>
      <c r="E228" s="195">
        <f>16.8*3.42-2.35*1.15-1.245*2.13-0.75*2.1-0.65*2.1</f>
        <v>49.161649999999995</v>
      </c>
      <c r="F228" s="3"/>
      <c r="G228" s="285"/>
      <c r="H228" s="186"/>
      <c r="I228" s="232"/>
      <c r="K228" s="227"/>
    </row>
    <row r="229" spans="1:11" ht="12.75">
      <c r="A229" s="180"/>
      <c r="B229" s="181"/>
      <c r="C229" s="182"/>
      <c r="D229" s="236" t="s">
        <v>506</v>
      </c>
      <c r="E229" s="195">
        <f>12.45*3.45-1.035*2.155-0.75*2.1-0.65*2.1</f>
        <v>37.782075</v>
      </c>
      <c r="F229" s="3"/>
      <c r="G229" s="285"/>
      <c r="H229" s="186"/>
      <c r="I229" s="232"/>
      <c r="K229" s="227"/>
    </row>
    <row r="230" spans="1:11" ht="12.75">
      <c r="A230" s="180"/>
      <c r="B230" s="181"/>
      <c r="C230" s="182"/>
      <c r="D230" s="236" t="s">
        <v>510</v>
      </c>
      <c r="E230" s="195"/>
      <c r="F230" s="3"/>
      <c r="G230" s="285"/>
      <c r="H230" s="186"/>
      <c r="I230" s="232"/>
      <c r="K230" s="227"/>
    </row>
    <row r="231" spans="1:11" ht="12.75">
      <c r="A231" s="180"/>
      <c r="B231" s="181"/>
      <c r="C231" s="182"/>
      <c r="D231" s="236" t="s">
        <v>511</v>
      </c>
      <c r="E231" s="195"/>
      <c r="F231" s="3"/>
      <c r="G231" s="285"/>
      <c r="H231" s="186"/>
      <c r="I231" s="232"/>
      <c r="K231" s="227"/>
    </row>
    <row r="232" spans="1:11" ht="12.75">
      <c r="A232" s="180"/>
      <c r="B232" s="181"/>
      <c r="C232" s="182"/>
      <c r="D232" s="236" t="s">
        <v>493</v>
      </c>
      <c r="E232" s="195">
        <f>+20.88*3.425-2*2.35*1.15-1.815*2.18</f>
        <v>62.1523</v>
      </c>
      <c r="F232" s="3"/>
      <c r="G232" s="285"/>
      <c r="H232" s="186"/>
      <c r="I232" s="232"/>
      <c r="K232" s="227"/>
    </row>
    <row r="233" spans="1:11" ht="25.5">
      <c r="A233" s="180"/>
      <c r="B233" s="181"/>
      <c r="C233" s="182"/>
      <c r="D233" s="236" t="s">
        <v>537</v>
      </c>
      <c r="E233" s="195">
        <f>+(27.81-3.5)*3.45-3*2.35*1.15-1.83*2.965-2*0.535*2.15-1.83*2.15-0.6*4.7</f>
        <v>61.28105</v>
      </c>
      <c r="F233" s="3"/>
      <c r="G233" s="285"/>
      <c r="H233" s="186"/>
      <c r="I233" s="232"/>
      <c r="K233" s="227"/>
    </row>
    <row r="234" spans="1:11" ht="12.75">
      <c r="A234" s="180"/>
      <c r="B234" s="181"/>
      <c r="C234" s="182"/>
      <c r="D234" s="236" t="s">
        <v>494</v>
      </c>
      <c r="E234" s="195">
        <f>18.58*3.45-2.35*1.15-1.845*2.96</f>
        <v>55.9373</v>
      </c>
      <c r="F234" s="3"/>
      <c r="G234" s="285"/>
      <c r="H234" s="186"/>
      <c r="I234" s="232"/>
      <c r="K234" s="227"/>
    </row>
    <row r="235" spans="1:11" ht="38.25">
      <c r="A235" s="180">
        <f>A226+1</f>
        <v>71</v>
      </c>
      <c r="B235" s="181" t="s">
        <v>338</v>
      </c>
      <c r="C235" s="182" t="s">
        <v>113</v>
      </c>
      <c r="D235" s="183" t="s">
        <v>963</v>
      </c>
      <c r="E235" s="184" t="s">
        <v>400</v>
      </c>
      <c r="F235" s="3">
        <f>+E236+E237+E238+E239+E240</f>
        <v>21.5189</v>
      </c>
      <c r="G235" s="285"/>
      <c r="H235" s="186">
        <f>F235*G235</f>
        <v>0</v>
      </c>
      <c r="I235" s="90" t="s">
        <v>101</v>
      </c>
      <c r="K235" s="227"/>
    </row>
    <row r="236" spans="1:11" ht="12.75">
      <c r="A236" s="180"/>
      <c r="B236" s="181"/>
      <c r="C236" s="182"/>
      <c r="D236" s="236" t="s">
        <v>523</v>
      </c>
      <c r="E236" s="195">
        <f>15.5+0.09*1.245</f>
        <v>15.61205</v>
      </c>
      <c r="F236" s="3"/>
      <c r="G236" s="285"/>
      <c r="H236" s="186"/>
      <c r="I236" s="232"/>
      <c r="K236" s="227"/>
    </row>
    <row r="237" spans="1:11" ht="12.75">
      <c r="A237" s="180"/>
      <c r="B237" s="181"/>
      <c r="C237" s="182"/>
      <c r="D237" s="195" t="s">
        <v>524</v>
      </c>
      <c r="E237" s="195">
        <f>5.1+0.09*1.035</f>
        <v>5.193149999999999</v>
      </c>
      <c r="F237" s="3"/>
      <c r="G237" s="285"/>
      <c r="H237" s="186"/>
      <c r="I237" s="232"/>
      <c r="K237" s="227"/>
    </row>
    <row r="238" spans="1:11" ht="12.75">
      <c r="A238" s="180"/>
      <c r="B238" s="181"/>
      <c r="C238" s="182"/>
      <c r="D238" s="236" t="s">
        <v>525</v>
      </c>
      <c r="E238" s="195">
        <f>0.13*1.815</f>
        <v>0.23595</v>
      </c>
      <c r="F238" s="3"/>
      <c r="G238" s="285"/>
      <c r="H238" s="186"/>
      <c r="I238" s="232"/>
      <c r="K238" s="227"/>
    </row>
    <row r="239" spans="1:11" ht="12.75">
      <c r="A239" s="180"/>
      <c r="B239" s="181"/>
      <c r="C239" s="182"/>
      <c r="D239" s="236" t="s">
        <v>526</v>
      </c>
      <c r="E239" s="195">
        <f>0.13*1.83</f>
        <v>0.23790000000000003</v>
      </c>
      <c r="F239" s="3"/>
      <c r="G239" s="285"/>
      <c r="H239" s="186"/>
      <c r="I239" s="232"/>
      <c r="K239" s="227"/>
    </row>
    <row r="240" spans="1:11" ht="12.75">
      <c r="A240" s="180"/>
      <c r="B240" s="181"/>
      <c r="C240" s="182"/>
      <c r="D240" s="236" t="s">
        <v>527</v>
      </c>
      <c r="E240" s="195">
        <f>0.13*1.845</f>
        <v>0.23985</v>
      </c>
      <c r="F240" s="3"/>
      <c r="G240" s="285"/>
      <c r="H240" s="186"/>
      <c r="I240" s="232"/>
      <c r="K240" s="227"/>
    </row>
    <row r="241" spans="1:9" ht="25.5">
      <c r="A241" s="180">
        <f>A235+1</f>
        <v>72</v>
      </c>
      <c r="B241" s="187" t="s">
        <v>528</v>
      </c>
      <c r="C241" s="238" t="s">
        <v>529</v>
      </c>
      <c r="D241" s="183" t="s">
        <v>530</v>
      </c>
      <c r="E241" s="184" t="s">
        <v>400</v>
      </c>
      <c r="F241" s="3">
        <f>+E242+E243+E244</f>
        <v>81.4</v>
      </c>
      <c r="G241" s="285"/>
      <c r="H241" s="155">
        <f>F241*G241</f>
        <v>0</v>
      </c>
      <c r="I241" s="232" t="s">
        <v>101</v>
      </c>
    </row>
    <row r="242" spans="1:9" ht="12.75">
      <c r="A242" s="180"/>
      <c r="B242" s="181"/>
      <c r="C242" s="238"/>
      <c r="D242" s="236" t="s">
        <v>500</v>
      </c>
      <c r="E242" s="195">
        <v>24.2</v>
      </c>
      <c r="F242" s="237"/>
      <c r="G242" s="285"/>
      <c r="H242" s="186"/>
      <c r="I242" s="90"/>
    </row>
    <row r="243" spans="1:9" ht="12.75">
      <c r="A243" s="180"/>
      <c r="B243" s="181"/>
      <c r="C243" s="238"/>
      <c r="D243" s="236" t="s">
        <v>501</v>
      </c>
      <c r="E243" s="195">
        <v>37</v>
      </c>
      <c r="F243" s="237"/>
      <c r="G243" s="285"/>
      <c r="H243" s="186"/>
      <c r="I243" s="90"/>
    </row>
    <row r="244" spans="1:9" ht="12.75">
      <c r="A244" s="180"/>
      <c r="B244" s="181"/>
      <c r="C244" s="238"/>
      <c r="D244" s="236" t="s">
        <v>502</v>
      </c>
      <c r="E244" s="195">
        <v>20.2</v>
      </c>
      <c r="F244" s="237"/>
      <c r="G244" s="285"/>
      <c r="H244" s="186"/>
      <c r="I244" s="90"/>
    </row>
    <row r="245" spans="1:9" ht="12.75">
      <c r="A245" s="180">
        <f>A241+1</f>
        <v>73</v>
      </c>
      <c r="B245" s="181" t="s">
        <v>503</v>
      </c>
      <c r="C245" s="238"/>
      <c r="D245" s="183" t="s">
        <v>724</v>
      </c>
      <c r="E245" s="184" t="s">
        <v>400</v>
      </c>
      <c r="F245" s="3">
        <f>+F241</f>
        <v>81.4</v>
      </c>
      <c r="G245" s="285"/>
      <c r="H245" s="186">
        <f>F245*G245</f>
        <v>0</v>
      </c>
      <c r="I245" s="90" t="s">
        <v>101</v>
      </c>
    </row>
    <row r="246" spans="1:11" ht="12.75">
      <c r="A246" s="180">
        <f>A245+1</f>
        <v>74</v>
      </c>
      <c r="B246" s="181" t="s">
        <v>195</v>
      </c>
      <c r="C246" s="182" t="s">
        <v>350</v>
      </c>
      <c r="D246" s="183" t="s">
        <v>194</v>
      </c>
      <c r="E246" s="184" t="s">
        <v>403</v>
      </c>
      <c r="F246" s="3">
        <f>SUM(E247:E252)</f>
        <v>44.06</v>
      </c>
      <c r="G246" s="285"/>
      <c r="H246" s="186">
        <f>F246*G246</f>
        <v>0</v>
      </c>
      <c r="I246" s="90" t="s">
        <v>101</v>
      </c>
      <c r="K246" s="227"/>
    </row>
    <row r="247" spans="1:11" ht="12.75">
      <c r="A247" s="180"/>
      <c r="B247" s="181"/>
      <c r="C247" s="182"/>
      <c r="D247" s="236" t="s">
        <v>512</v>
      </c>
      <c r="E247" s="195">
        <v>0</v>
      </c>
      <c r="F247" s="3"/>
      <c r="G247" s="285"/>
      <c r="H247" s="186"/>
      <c r="I247" s="232"/>
      <c r="K247" s="227"/>
    </row>
    <row r="248" spans="1:11" ht="12.75">
      <c r="A248" s="180"/>
      <c r="B248" s="181"/>
      <c r="C248" s="182"/>
      <c r="D248" s="236" t="s">
        <v>515</v>
      </c>
      <c r="E248" s="195">
        <f>2*(2.45+2.13)+3.5</f>
        <v>12.66</v>
      </c>
      <c r="F248" s="3"/>
      <c r="G248" s="285"/>
      <c r="H248" s="186"/>
      <c r="I248" s="232"/>
      <c r="K248" s="227"/>
    </row>
    <row r="249" spans="1:11" ht="12.75">
      <c r="A249" s="180"/>
      <c r="B249" s="181"/>
      <c r="C249" s="182"/>
      <c r="D249" s="236" t="s">
        <v>514</v>
      </c>
      <c r="E249" s="195">
        <f>2*2.15</f>
        <v>4.3</v>
      </c>
      <c r="F249" s="3"/>
      <c r="G249" s="285"/>
      <c r="H249" s="186"/>
      <c r="I249" s="232"/>
      <c r="K249" s="227"/>
    </row>
    <row r="250" spans="1:11" ht="12.75">
      <c r="A250" s="180"/>
      <c r="B250" s="181"/>
      <c r="C250" s="182"/>
      <c r="D250" s="236" t="s">
        <v>513</v>
      </c>
      <c r="E250" s="195">
        <f>2*2.18</f>
        <v>4.36</v>
      </c>
      <c r="F250" s="3"/>
      <c r="G250" s="285"/>
      <c r="H250" s="186"/>
      <c r="I250" s="232"/>
      <c r="K250" s="227"/>
    </row>
    <row r="251" spans="1:11" ht="12.75">
      <c r="A251" s="180"/>
      <c r="B251" s="181"/>
      <c r="C251" s="182"/>
      <c r="D251" s="236" t="s">
        <v>516</v>
      </c>
      <c r="E251" s="195">
        <f>2*2.96+2*3.5+3.9</f>
        <v>16.82</v>
      </c>
      <c r="F251" s="3"/>
      <c r="G251" s="285"/>
      <c r="H251" s="186"/>
      <c r="I251" s="232"/>
      <c r="K251" s="227"/>
    </row>
    <row r="252" spans="1:11" ht="12.75">
      <c r="A252" s="180"/>
      <c r="B252" s="181"/>
      <c r="C252" s="182"/>
      <c r="D252" s="236" t="s">
        <v>517</v>
      </c>
      <c r="E252" s="195">
        <f>2*2.96</f>
        <v>5.92</v>
      </c>
      <c r="F252" s="3"/>
      <c r="G252" s="285"/>
      <c r="H252" s="186"/>
      <c r="I252" s="232"/>
      <c r="K252" s="227"/>
    </row>
    <row r="253" spans="1:11" ht="25.5">
      <c r="A253" s="180">
        <f>A246+1</f>
        <v>75</v>
      </c>
      <c r="B253" s="181" t="s">
        <v>192</v>
      </c>
      <c r="C253" s="182" t="s">
        <v>350</v>
      </c>
      <c r="D253" s="183" t="s">
        <v>191</v>
      </c>
      <c r="E253" s="184" t="s">
        <v>400</v>
      </c>
      <c r="F253" s="3">
        <f>SUM(E254:E259)</f>
        <v>2.457</v>
      </c>
      <c r="G253" s="285"/>
      <c r="H253" s="186">
        <f>F253*G253</f>
        <v>0</v>
      </c>
      <c r="I253" s="90" t="s">
        <v>101</v>
      </c>
      <c r="K253" s="227"/>
    </row>
    <row r="254" spans="1:11" ht="12.75">
      <c r="A254" s="180"/>
      <c r="B254" s="181"/>
      <c r="C254" s="182"/>
      <c r="D254" s="236" t="s">
        <v>512</v>
      </c>
      <c r="E254" s="195"/>
      <c r="F254" s="3"/>
      <c r="G254" s="285"/>
      <c r="H254" s="186"/>
      <c r="I254" s="232"/>
      <c r="K254" s="227"/>
    </row>
    <row r="255" spans="1:11" ht="12.75">
      <c r="A255" s="180"/>
      <c r="B255" s="181"/>
      <c r="C255" s="182"/>
      <c r="D255" s="236" t="s">
        <v>518</v>
      </c>
      <c r="E255" s="195">
        <f>2*0.09*2.13</f>
        <v>0.38339999999999996</v>
      </c>
      <c r="F255" s="3"/>
      <c r="G255" s="285"/>
      <c r="H255" s="186"/>
      <c r="I255" s="232"/>
      <c r="K255" s="227"/>
    </row>
    <row r="256" spans="1:11" ht="12.75">
      <c r="A256" s="180"/>
      <c r="B256" s="181"/>
      <c r="C256" s="182"/>
      <c r="D256" s="236" t="s">
        <v>519</v>
      </c>
      <c r="E256" s="195">
        <f>2*0.09*2.16</f>
        <v>0.38880000000000003</v>
      </c>
      <c r="F256" s="3"/>
      <c r="G256" s="285"/>
      <c r="H256" s="186"/>
      <c r="I256" s="232"/>
      <c r="K256" s="227"/>
    </row>
    <row r="257" spans="1:11" ht="12.75">
      <c r="A257" s="180"/>
      <c r="B257" s="181"/>
      <c r="C257" s="182"/>
      <c r="D257" s="236" t="s">
        <v>520</v>
      </c>
      <c r="E257" s="195">
        <f>2*0.13*2.18</f>
        <v>0.5668000000000001</v>
      </c>
      <c r="F257" s="3"/>
      <c r="G257" s="285"/>
      <c r="H257" s="186"/>
      <c r="I257" s="232"/>
      <c r="K257" s="227"/>
    </row>
    <row r="258" spans="1:11" ht="12.75">
      <c r="A258" s="180"/>
      <c r="B258" s="181"/>
      <c r="C258" s="182"/>
      <c r="D258" s="236" t="s">
        <v>521</v>
      </c>
      <c r="E258" s="195">
        <f>2*0.13*2.15</f>
        <v>0.5589999999999999</v>
      </c>
      <c r="F258" s="3"/>
      <c r="G258" s="285"/>
      <c r="H258" s="186"/>
      <c r="I258" s="232"/>
      <c r="K258" s="227"/>
    </row>
    <row r="259" spans="1:11" ht="12.75">
      <c r="A259" s="180"/>
      <c r="B259" s="181"/>
      <c r="C259" s="182"/>
      <c r="D259" s="236" t="s">
        <v>522</v>
      </c>
      <c r="E259" s="195">
        <f>2*0.13*2.15</f>
        <v>0.5589999999999999</v>
      </c>
      <c r="F259" s="3"/>
      <c r="G259" s="285"/>
      <c r="H259" s="186"/>
      <c r="I259" s="232"/>
      <c r="K259" s="227"/>
    </row>
    <row r="260" spans="1:11" ht="25.5">
      <c r="A260" s="180">
        <f>A253+1</f>
        <v>76</v>
      </c>
      <c r="B260" s="187" t="s">
        <v>190</v>
      </c>
      <c r="C260" s="182" t="s">
        <v>350</v>
      </c>
      <c r="D260" s="183" t="s">
        <v>189</v>
      </c>
      <c r="E260" s="184" t="s">
        <v>403</v>
      </c>
      <c r="F260" s="3">
        <f>SUM(E261:E266)</f>
        <v>139.71999999999997</v>
      </c>
      <c r="G260" s="285"/>
      <c r="H260" s="186">
        <f>F260*G260</f>
        <v>0</v>
      </c>
      <c r="I260" s="90" t="s">
        <v>101</v>
      </c>
      <c r="K260" s="227"/>
    </row>
    <row r="261" spans="1:11" ht="12.75">
      <c r="A261" s="180"/>
      <c r="B261" s="181"/>
      <c r="C261" s="182"/>
      <c r="D261" s="236" t="s">
        <v>531</v>
      </c>
      <c r="E261" s="195">
        <f>4*(2*2.4+1.25)+4*2.11+0.75+0.8</f>
        <v>34.19</v>
      </c>
      <c r="F261" s="3"/>
      <c r="G261" s="285"/>
      <c r="H261" s="186"/>
      <c r="I261" s="232"/>
      <c r="K261" s="227"/>
    </row>
    <row r="262" spans="1:11" ht="12.75">
      <c r="A262" s="180"/>
      <c r="B262" s="181"/>
      <c r="C262" s="182"/>
      <c r="D262" s="236" t="s">
        <v>532</v>
      </c>
      <c r="E262" s="195">
        <f>+2*2.4+1.25+2*2.13+1.245+4*2.11+0.75+0.65</f>
        <v>21.394999999999996</v>
      </c>
      <c r="F262" s="3"/>
      <c r="G262" s="285"/>
      <c r="H262" s="186"/>
      <c r="I262" s="232"/>
      <c r="K262" s="227"/>
    </row>
    <row r="263" spans="1:11" ht="12.75">
      <c r="A263" s="180"/>
      <c r="B263" s="181"/>
      <c r="C263" s="182"/>
      <c r="D263" s="236" t="s">
        <v>533</v>
      </c>
      <c r="E263" s="195">
        <f>2*2.11+0.75+2*2.155+1.035</f>
        <v>10.315</v>
      </c>
      <c r="F263" s="3"/>
      <c r="G263" s="285"/>
      <c r="H263" s="186"/>
      <c r="I263" s="232"/>
      <c r="K263" s="227"/>
    </row>
    <row r="264" spans="1:11" ht="12.75">
      <c r="A264" s="180"/>
      <c r="B264" s="181"/>
      <c r="C264" s="182"/>
      <c r="D264" s="236" t="s">
        <v>534</v>
      </c>
      <c r="E264" s="195">
        <f>2*2.18+1.815+4*2.4+2*1.25</f>
        <v>18.275</v>
      </c>
      <c r="F264" s="3"/>
      <c r="G264" s="285"/>
      <c r="H264" s="186"/>
      <c r="I264" s="232"/>
      <c r="K264" s="227"/>
    </row>
    <row r="265" spans="1:11" ht="12.75">
      <c r="A265" s="180"/>
      <c r="B265" s="181"/>
      <c r="C265" s="182"/>
      <c r="D265" s="236" t="s">
        <v>535</v>
      </c>
      <c r="E265" s="195">
        <f>6*2.4+3*1.25+2*2.96+1.83+6*2.15+1.83+2*0.55</f>
        <v>41.73</v>
      </c>
      <c r="F265" s="3"/>
      <c r="G265" s="285"/>
      <c r="H265" s="186"/>
      <c r="I265" s="232"/>
      <c r="K265" s="227"/>
    </row>
    <row r="266" spans="1:11" ht="12.75">
      <c r="A266" s="180"/>
      <c r="B266" s="181"/>
      <c r="C266" s="182"/>
      <c r="D266" s="236" t="s">
        <v>536</v>
      </c>
      <c r="E266" s="195">
        <f>+2*2.4+1.25+2*2.96+1.845</f>
        <v>13.815</v>
      </c>
      <c r="F266" s="3"/>
      <c r="G266" s="285"/>
      <c r="H266" s="186"/>
      <c r="I266" s="232"/>
      <c r="K266" s="227"/>
    </row>
    <row r="267" spans="1:9" ht="25.5">
      <c r="A267" s="180">
        <f>A260+1</f>
        <v>77</v>
      </c>
      <c r="B267" s="181" t="s">
        <v>337</v>
      </c>
      <c r="C267" s="238" t="s">
        <v>135</v>
      </c>
      <c r="D267" s="183" t="s">
        <v>336</v>
      </c>
      <c r="E267" s="184" t="s">
        <v>400</v>
      </c>
      <c r="F267" s="3">
        <f>+F268+F269</f>
        <v>51.786</v>
      </c>
      <c r="G267" s="285"/>
      <c r="H267" s="186">
        <f>F267*G267</f>
        <v>0</v>
      </c>
      <c r="I267" s="90" t="s">
        <v>101</v>
      </c>
    </row>
    <row r="268" spans="1:9" ht="25.5">
      <c r="A268" s="180">
        <f>A267+1</f>
        <v>78</v>
      </c>
      <c r="B268" s="187" t="s">
        <v>339</v>
      </c>
      <c r="C268" s="182" t="s">
        <v>114</v>
      </c>
      <c r="D268" s="183" t="s">
        <v>538</v>
      </c>
      <c r="E268" s="184" t="s">
        <v>400</v>
      </c>
      <c r="F268" s="3">
        <f>0.6*(3.5+1.2)+0.1</f>
        <v>2.92</v>
      </c>
      <c r="G268" s="285"/>
      <c r="H268" s="186">
        <f>F268*G268</f>
        <v>0</v>
      </c>
      <c r="I268" s="90" t="s">
        <v>101</v>
      </c>
    </row>
    <row r="269" spans="1:9" ht="25.5">
      <c r="A269" s="180">
        <f>A268+1</f>
        <v>79</v>
      </c>
      <c r="B269" s="187" t="s">
        <v>340</v>
      </c>
      <c r="C269" s="182" t="s">
        <v>114</v>
      </c>
      <c r="D269" s="183" t="s">
        <v>539</v>
      </c>
      <c r="E269" s="184" t="s">
        <v>400</v>
      </c>
      <c r="F269" s="3">
        <f>+E270+E271+E272</f>
        <v>48.866</v>
      </c>
      <c r="G269" s="285"/>
      <c r="H269" s="186">
        <f>F269*G269</f>
        <v>0</v>
      </c>
      <c r="I269" s="90" t="s">
        <v>101</v>
      </c>
    </row>
    <row r="270" spans="1:9" ht="12.75">
      <c r="A270" s="180"/>
      <c r="B270" s="181"/>
      <c r="C270" s="182"/>
      <c r="D270" s="236" t="s">
        <v>547</v>
      </c>
      <c r="E270" s="195">
        <f>2.4*7.94+0.9*0.2</f>
        <v>19.236</v>
      </c>
      <c r="F270" s="3"/>
      <c r="G270" s="285"/>
      <c r="H270" s="186"/>
      <c r="I270" s="90"/>
    </row>
    <row r="271" spans="1:9" ht="12.75">
      <c r="A271" s="180"/>
      <c r="B271" s="181"/>
      <c r="C271" s="182"/>
      <c r="D271" s="236" t="s">
        <v>546</v>
      </c>
      <c r="E271" s="195">
        <f>2.4*4.32+0.97*0.2</f>
        <v>10.562000000000001</v>
      </c>
      <c r="F271" s="3"/>
      <c r="G271" s="285"/>
      <c r="H271" s="186"/>
      <c r="I271" s="90"/>
    </row>
    <row r="272" spans="1:9" ht="12.75">
      <c r="A272" s="180"/>
      <c r="B272" s="181"/>
      <c r="C272" s="182"/>
      <c r="D272" s="236" t="s">
        <v>545</v>
      </c>
      <c r="E272" s="195">
        <f>2.4*7.86+1.02*0.2</f>
        <v>19.068</v>
      </c>
      <c r="F272" s="3"/>
      <c r="G272" s="285"/>
      <c r="H272" s="186"/>
      <c r="I272" s="90"/>
    </row>
    <row r="273" spans="1:9" ht="12.75">
      <c r="A273" s="180">
        <f>A269+1</f>
        <v>80</v>
      </c>
      <c r="B273" s="181" t="s">
        <v>196</v>
      </c>
      <c r="C273" s="182"/>
      <c r="D273" s="183" t="s">
        <v>147</v>
      </c>
      <c r="E273" s="184" t="s">
        <v>400</v>
      </c>
      <c r="F273" s="3">
        <f>+F268</f>
        <v>2.92</v>
      </c>
      <c r="G273" s="286"/>
      <c r="H273" s="186">
        <f aca="true" t="shared" si="15" ref="H273:H287">F273*G273</f>
        <v>0</v>
      </c>
      <c r="I273" s="90" t="s">
        <v>101</v>
      </c>
    </row>
    <row r="274" spans="1:11" ht="38.25">
      <c r="A274" s="180">
        <f aca="true" t="shared" si="16" ref="A274:A282">A273+1</f>
        <v>81</v>
      </c>
      <c r="B274" s="187" t="s">
        <v>792</v>
      </c>
      <c r="C274" s="218" t="s">
        <v>115</v>
      </c>
      <c r="D274" s="219" t="s">
        <v>540</v>
      </c>
      <c r="E274" s="220" t="s">
        <v>400</v>
      </c>
      <c r="F274" s="216">
        <f>+(1.15*2.4+0.6*1.8+0.665*1.3)*1.1</f>
        <v>5.17495</v>
      </c>
      <c r="G274" s="287"/>
      <c r="H274" s="221">
        <f t="shared" si="15"/>
        <v>0</v>
      </c>
      <c r="I274" s="90" t="s">
        <v>101</v>
      </c>
      <c r="K274" s="230" t="s">
        <v>589</v>
      </c>
    </row>
    <row r="275" spans="1:11" ht="25.5">
      <c r="A275" s="180">
        <f t="shared" si="16"/>
        <v>82</v>
      </c>
      <c r="B275" s="187" t="s">
        <v>793</v>
      </c>
      <c r="C275" s="218" t="s">
        <v>116</v>
      </c>
      <c r="D275" s="219" t="s">
        <v>544</v>
      </c>
      <c r="E275" s="220" t="s">
        <v>400</v>
      </c>
      <c r="F275" s="216">
        <f>+(F269*1.1-F276-F277)</f>
        <v>44.4235</v>
      </c>
      <c r="G275" s="287"/>
      <c r="H275" s="221">
        <f t="shared" si="15"/>
        <v>0</v>
      </c>
      <c r="I275" s="90" t="s">
        <v>101</v>
      </c>
      <c r="K275" s="230" t="s">
        <v>590</v>
      </c>
    </row>
    <row r="276" spans="1:11" ht="25.5">
      <c r="A276" s="180">
        <f t="shared" si="16"/>
        <v>83</v>
      </c>
      <c r="B276" s="187" t="s">
        <v>794</v>
      </c>
      <c r="C276" s="218" t="s">
        <v>212</v>
      </c>
      <c r="D276" s="219" t="s">
        <v>543</v>
      </c>
      <c r="E276" s="220" t="s">
        <v>400</v>
      </c>
      <c r="F276" s="216">
        <f>+(1.9*2.4+0.77*1.3)*1.1</f>
        <v>6.117100000000001</v>
      </c>
      <c r="G276" s="287"/>
      <c r="H276" s="221">
        <f>F276*G276</f>
        <v>0</v>
      </c>
      <c r="I276" s="90" t="s">
        <v>101</v>
      </c>
      <c r="K276" s="230" t="s">
        <v>590</v>
      </c>
    </row>
    <row r="277" spans="1:11" ht="25.5">
      <c r="A277" s="180">
        <f t="shared" si="16"/>
        <v>84</v>
      </c>
      <c r="B277" s="187" t="s">
        <v>795</v>
      </c>
      <c r="C277" s="218" t="s">
        <v>541</v>
      </c>
      <c r="D277" s="219" t="s">
        <v>542</v>
      </c>
      <c r="E277" s="220" t="s">
        <v>400</v>
      </c>
      <c r="F277" s="216">
        <f>+F268*1.1</f>
        <v>3.212</v>
      </c>
      <c r="G277" s="287"/>
      <c r="H277" s="221">
        <f>F277*G277</f>
        <v>0</v>
      </c>
      <c r="I277" s="90" t="s">
        <v>101</v>
      </c>
      <c r="K277" s="230" t="s">
        <v>591</v>
      </c>
    </row>
    <row r="278" spans="1:9" ht="12.75">
      <c r="A278" s="180">
        <f t="shared" si="16"/>
        <v>85</v>
      </c>
      <c r="B278" s="187" t="s">
        <v>947</v>
      </c>
      <c r="C278" s="182"/>
      <c r="D278" s="183" t="s">
        <v>946</v>
      </c>
      <c r="E278" s="184" t="s">
        <v>402</v>
      </c>
      <c r="F278" s="3">
        <v>1</v>
      </c>
      <c r="G278" s="286"/>
      <c r="H278" s="186">
        <f>F278*G278</f>
        <v>0</v>
      </c>
      <c r="I278" s="90" t="s">
        <v>101</v>
      </c>
    </row>
    <row r="279" spans="1:9" ht="12.75">
      <c r="A279" s="180">
        <f t="shared" si="16"/>
        <v>86</v>
      </c>
      <c r="B279" s="181" t="s">
        <v>341</v>
      </c>
      <c r="C279" s="182" t="s">
        <v>114</v>
      </c>
      <c r="D279" s="183" t="s">
        <v>342</v>
      </c>
      <c r="E279" s="184" t="s">
        <v>403</v>
      </c>
      <c r="F279" s="3">
        <f>2.32+1.2+0.77+2.4+1.57*2+0.45+1.3*2+1.8+(2*0.6+1.2)</f>
        <v>17.08</v>
      </c>
      <c r="G279" s="286"/>
      <c r="H279" s="186">
        <f t="shared" si="15"/>
        <v>0</v>
      </c>
      <c r="I279" s="90" t="s">
        <v>101</v>
      </c>
    </row>
    <row r="280" spans="1:11" ht="25.5">
      <c r="A280" s="180">
        <f t="shared" si="16"/>
        <v>87</v>
      </c>
      <c r="B280" s="187" t="s">
        <v>796</v>
      </c>
      <c r="C280" s="218" t="s">
        <v>117</v>
      </c>
      <c r="D280" s="219" t="s">
        <v>309</v>
      </c>
      <c r="E280" s="220" t="s">
        <v>403</v>
      </c>
      <c r="F280" s="216">
        <v>3</v>
      </c>
      <c r="G280" s="287"/>
      <c r="H280" s="221">
        <f t="shared" si="15"/>
        <v>0</v>
      </c>
      <c r="I280" s="90" t="s">
        <v>101</v>
      </c>
      <c r="K280" s="230" t="s">
        <v>198</v>
      </c>
    </row>
    <row r="281" spans="1:11" ht="25.5">
      <c r="A281" s="180">
        <f t="shared" si="16"/>
        <v>88</v>
      </c>
      <c r="B281" s="187" t="s">
        <v>797</v>
      </c>
      <c r="C281" s="218" t="s">
        <v>117</v>
      </c>
      <c r="D281" s="219" t="s">
        <v>213</v>
      </c>
      <c r="E281" s="220" t="s">
        <v>403</v>
      </c>
      <c r="F281" s="216">
        <f>6*3</f>
        <v>18</v>
      </c>
      <c r="G281" s="287"/>
      <c r="H281" s="221">
        <f t="shared" si="15"/>
        <v>0</v>
      </c>
      <c r="I281" s="90" t="s">
        <v>101</v>
      </c>
      <c r="K281" s="230" t="s">
        <v>197</v>
      </c>
    </row>
    <row r="282" spans="1:9" ht="12.75">
      <c r="A282" s="180">
        <f t="shared" si="16"/>
        <v>89</v>
      </c>
      <c r="B282" s="181" t="s">
        <v>343</v>
      </c>
      <c r="C282" s="182" t="s">
        <v>114</v>
      </c>
      <c r="D282" s="183" t="s">
        <v>798</v>
      </c>
      <c r="E282" s="184" t="s">
        <v>400</v>
      </c>
      <c r="F282" s="3">
        <f>(0.9+1.1+0.9)*2+3.7*1.8+(7.04-0.9+4.97-0.75+6.14)*0.1</f>
        <v>14.110000000000001</v>
      </c>
      <c r="G282" s="285"/>
      <c r="H282" s="186">
        <f t="shared" si="15"/>
        <v>0</v>
      </c>
      <c r="I282" s="90" t="s">
        <v>101</v>
      </c>
    </row>
    <row r="283" spans="1:11" ht="16.5">
      <c r="A283" s="180">
        <f aca="true" t="shared" si="17" ref="A283:A292">A282+1</f>
        <v>90</v>
      </c>
      <c r="B283" s="187" t="s">
        <v>800</v>
      </c>
      <c r="C283" s="218" t="s">
        <v>117</v>
      </c>
      <c r="D283" s="219" t="s">
        <v>35</v>
      </c>
      <c r="E283" s="220" t="s">
        <v>5</v>
      </c>
      <c r="F283" s="4">
        <f>+F282*1.5*2</f>
        <v>42.330000000000005</v>
      </c>
      <c r="G283" s="287"/>
      <c r="H283" s="221">
        <f t="shared" si="15"/>
        <v>0</v>
      </c>
      <c r="I283" s="90" t="s">
        <v>101</v>
      </c>
      <c r="K283" s="230" t="s">
        <v>799</v>
      </c>
    </row>
    <row r="284" spans="1:9" ht="12.75">
      <c r="A284" s="180">
        <f t="shared" si="17"/>
        <v>91</v>
      </c>
      <c r="B284" s="181" t="s">
        <v>344</v>
      </c>
      <c r="C284" s="218"/>
      <c r="D284" s="183" t="s">
        <v>273</v>
      </c>
      <c r="E284" s="184" t="s">
        <v>403</v>
      </c>
      <c r="F284" s="3">
        <f>F285</f>
        <v>13.200000000000001</v>
      </c>
      <c r="G284" s="285"/>
      <c r="H284" s="186">
        <f t="shared" si="15"/>
        <v>0</v>
      </c>
      <c r="I284" s="90" t="s">
        <v>101</v>
      </c>
    </row>
    <row r="285" spans="1:9" ht="25.5">
      <c r="A285" s="180">
        <f t="shared" si="17"/>
        <v>92</v>
      </c>
      <c r="B285" s="181">
        <v>28355360</v>
      </c>
      <c r="C285" s="218" t="s">
        <v>117</v>
      </c>
      <c r="D285" s="219" t="s">
        <v>110</v>
      </c>
      <c r="E285" s="220" t="s">
        <v>403</v>
      </c>
      <c r="F285" s="4">
        <f>6*2.2</f>
        <v>13.200000000000001</v>
      </c>
      <c r="G285" s="287"/>
      <c r="H285" s="221">
        <f t="shared" si="15"/>
        <v>0</v>
      </c>
      <c r="I285" s="90" t="s">
        <v>101</v>
      </c>
    </row>
    <row r="286" spans="1:9" ht="12.75">
      <c r="A286" s="180">
        <f t="shared" si="17"/>
        <v>93</v>
      </c>
      <c r="B286" s="181" t="s">
        <v>374</v>
      </c>
      <c r="C286" s="218"/>
      <c r="D286" s="183" t="s">
        <v>375</v>
      </c>
      <c r="E286" s="184" t="s">
        <v>400</v>
      </c>
      <c r="F286" s="3">
        <f>+F287</f>
        <v>367.32477499999993</v>
      </c>
      <c r="G286" s="286"/>
      <c r="H286" s="186">
        <f t="shared" si="15"/>
        <v>0</v>
      </c>
      <c r="I286" s="90" t="s">
        <v>101</v>
      </c>
    </row>
    <row r="287" spans="1:9" ht="12.75">
      <c r="A287" s="180">
        <f t="shared" si="17"/>
        <v>94</v>
      </c>
      <c r="B287" s="181" t="s">
        <v>347</v>
      </c>
      <c r="C287" s="218"/>
      <c r="D287" s="183" t="s">
        <v>346</v>
      </c>
      <c r="E287" s="184" t="s">
        <v>400</v>
      </c>
      <c r="F287" s="3">
        <f>+E288+E289+E290</f>
        <v>367.32477499999993</v>
      </c>
      <c r="G287" s="285"/>
      <c r="H287" s="186">
        <f t="shared" si="15"/>
        <v>0</v>
      </c>
      <c r="I287" s="90" t="s">
        <v>101</v>
      </c>
    </row>
    <row r="288" spans="1:11" ht="12.75">
      <c r="A288" s="180"/>
      <c r="B288" s="181"/>
      <c r="C288" s="182"/>
      <c r="D288" s="194" t="s">
        <v>372</v>
      </c>
      <c r="E288" s="195">
        <f>+F226+F253</f>
        <v>304.78437499999995</v>
      </c>
      <c r="F288" s="3"/>
      <c r="G288" s="285"/>
      <c r="H288" s="186"/>
      <c r="I288" s="90"/>
      <c r="K288" s="227"/>
    </row>
    <row r="289" spans="1:11" ht="12.75">
      <c r="A289" s="180"/>
      <c r="B289" s="181"/>
      <c r="C289" s="182"/>
      <c r="D289" s="194" t="s">
        <v>371</v>
      </c>
      <c r="E289" s="195">
        <f>2.17*3.45+3.5*3.45-0.6*3.7+F182+F184</f>
        <v>41.0215</v>
      </c>
      <c r="F289" s="3"/>
      <c r="G289" s="285"/>
      <c r="H289" s="186"/>
      <c r="I289" s="90"/>
      <c r="K289" s="227"/>
    </row>
    <row r="290" spans="1:11" ht="12.75">
      <c r="A290" s="180"/>
      <c r="B290" s="181"/>
      <c r="C290" s="182"/>
      <c r="D290" s="194" t="s">
        <v>214</v>
      </c>
      <c r="E290" s="195">
        <f>+F235</f>
        <v>21.5189</v>
      </c>
      <c r="F290" s="3"/>
      <c r="G290" s="285"/>
      <c r="H290" s="186"/>
      <c r="I290" s="90"/>
      <c r="K290" s="227"/>
    </row>
    <row r="291" spans="1:11" ht="12.75">
      <c r="A291" s="180">
        <f>A287+1</f>
        <v>95</v>
      </c>
      <c r="B291" s="187" t="s">
        <v>801</v>
      </c>
      <c r="C291" s="182"/>
      <c r="D291" s="183" t="s">
        <v>108</v>
      </c>
      <c r="E291" s="184" t="s">
        <v>399</v>
      </c>
      <c r="F291" s="3">
        <v>1</v>
      </c>
      <c r="G291" s="285"/>
      <c r="H291" s="186">
        <f>F291*G291</f>
        <v>0</v>
      </c>
      <c r="I291" s="90" t="s">
        <v>101</v>
      </c>
      <c r="K291" s="227"/>
    </row>
    <row r="292" spans="1:9" ht="13.5" thickBot="1">
      <c r="A292" s="180">
        <f t="shared" si="17"/>
        <v>96</v>
      </c>
      <c r="B292" s="187" t="s">
        <v>753</v>
      </c>
      <c r="C292" s="182"/>
      <c r="D292" s="222" t="s">
        <v>20</v>
      </c>
      <c r="E292" s="184" t="s">
        <v>408</v>
      </c>
      <c r="F292" s="3">
        <f>+H214+H215+H216+H217+H226+H235+H241+H246+H253+H260+H267+H274+H275+H276+H277+H280+H281+H283+H285+H286+H287</f>
        <v>0</v>
      </c>
      <c r="G292" s="288"/>
      <c r="H292" s="186">
        <f>F292*G292</f>
        <v>0</v>
      </c>
      <c r="I292" s="90" t="s">
        <v>101</v>
      </c>
    </row>
    <row r="293" spans="1:9" ht="13.5" thickBot="1">
      <c r="A293" s="180"/>
      <c r="B293" s="239"/>
      <c r="C293" s="182"/>
      <c r="D293" s="162" t="s">
        <v>401</v>
      </c>
      <c r="E293" s="163"/>
      <c r="F293" s="223"/>
      <c r="G293" s="224"/>
      <c r="H293" s="203">
        <f>SUBTOTAL(9,H204:H292)</f>
        <v>0</v>
      </c>
      <c r="I293" s="90"/>
    </row>
    <row r="294" spans="1:9" ht="12.75">
      <c r="A294" s="180"/>
      <c r="B294" s="181"/>
      <c r="C294" s="182"/>
      <c r="D294" s="204"/>
      <c r="E294" s="168"/>
      <c r="F294" s="64"/>
      <c r="G294" s="107"/>
      <c r="H294" s="205"/>
      <c r="I294" s="90"/>
    </row>
    <row r="295" spans="1:9" ht="16.5">
      <c r="A295" s="180"/>
      <c r="B295" s="181"/>
      <c r="C295" s="207" t="s">
        <v>12</v>
      </c>
      <c r="D295" s="142" t="s">
        <v>32</v>
      </c>
      <c r="E295" s="142"/>
      <c r="F295" s="206"/>
      <c r="G295" s="142"/>
      <c r="H295" s="142"/>
      <c r="I295" s="90"/>
    </row>
    <row r="296" spans="1:9" ht="87.75" customHeight="1">
      <c r="A296" s="180"/>
      <c r="B296" s="181"/>
      <c r="C296" s="176"/>
      <c r="D296" s="316" t="s">
        <v>42</v>
      </c>
      <c r="E296" s="316"/>
      <c r="F296" s="316"/>
      <c r="G296" s="235"/>
      <c r="H296" s="235"/>
      <c r="I296" s="90"/>
    </row>
    <row r="297" spans="1:9" ht="12.75">
      <c r="A297" s="180">
        <f>A292+1</f>
        <v>97</v>
      </c>
      <c r="B297" s="181" t="s">
        <v>554</v>
      </c>
      <c r="C297" s="182"/>
      <c r="D297" s="183" t="s">
        <v>555</v>
      </c>
      <c r="E297" s="184" t="s">
        <v>402</v>
      </c>
      <c r="F297" s="3">
        <v>3</v>
      </c>
      <c r="G297" s="285"/>
      <c r="H297" s="186">
        <f aca="true" t="shared" si="18" ref="H297:H308">F297*G297</f>
        <v>0</v>
      </c>
      <c r="I297" s="90" t="s">
        <v>101</v>
      </c>
    </row>
    <row r="298" spans="1:9" ht="12.75">
      <c r="A298" s="180">
        <f>A297+1</f>
        <v>98</v>
      </c>
      <c r="B298" s="181" t="s">
        <v>552</v>
      </c>
      <c r="C298" s="182"/>
      <c r="D298" s="183" t="s">
        <v>553</v>
      </c>
      <c r="E298" s="184" t="s">
        <v>402</v>
      </c>
      <c r="F298" s="3">
        <v>5</v>
      </c>
      <c r="G298" s="285"/>
      <c r="H298" s="186">
        <f t="shared" si="18"/>
        <v>0</v>
      </c>
      <c r="I298" s="90" t="s">
        <v>101</v>
      </c>
    </row>
    <row r="299" spans="1:9" ht="12.75">
      <c r="A299" s="180">
        <f>A298+1</f>
        <v>99</v>
      </c>
      <c r="B299" s="181" t="s">
        <v>202</v>
      </c>
      <c r="C299" s="182" t="s">
        <v>549</v>
      </c>
      <c r="D299" s="183" t="s">
        <v>201</v>
      </c>
      <c r="E299" s="184" t="s">
        <v>402</v>
      </c>
      <c r="F299" s="3">
        <v>1</v>
      </c>
      <c r="G299" s="285"/>
      <c r="H299" s="186">
        <f t="shared" si="18"/>
        <v>0</v>
      </c>
      <c r="I299" s="90" t="s">
        <v>101</v>
      </c>
    </row>
    <row r="300" spans="1:11" ht="25.5">
      <c r="A300" s="180">
        <f>A299+1</f>
        <v>100</v>
      </c>
      <c r="B300" s="187" t="s">
        <v>802</v>
      </c>
      <c r="C300" s="240" t="s">
        <v>548</v>
      </c>
      <c r="D300" s="214" t="s">
        <v>561</v>
      </c>
      <c r="E300" s="215" t="s">
        <v>402</v>
      </c>
      <c r="F300" s="216">
        <v>1</v>
      </c>
      <c r="G300" s="287"/>
      <c r="H300" s="217">
        <f t="shared" si="18"/>
        <v>0</v>
      </c>
      <c r="I300" s="36" t="s">
        <v>101</v>
      </c>
      <c r="K300" s="230" t="s">
        <v>685</v>
      </c>
    </row>
    <row r="301" spans="1:9" ht="25.5">
      <c r="A301" s="180">
        <f>A300+1</f>
        <v>101</v>
      </c>
      <c r="B301" s="187" t="s">
        <v>686</v>
      </c>
      <c r="C301" s="240"/>
      <c r="D301" s="183" t="s">
        <v>687</v>
      </c>
      <c r="E301" s="184" t="s">
        <v>399</v>
      </c>
      <c r="F301" s="3">
        <v>1</v>
      </c>
      <c r="G301" s="285"/>
      <c r="H301" s="186">
        <f t="shared" si="18"/>
        <v>0</v>
      </c>
      <c r="I301" s="36" t="s">
        <v>101</v>
      </c>
    </row>
    <row r="302" spans="1:9" ht="15" customHeight="1">
      <c r="A302" s="180">
        <f>A301+1</f>
        <v>102</v>
      </c>
      <c r="B302" s="187" t="s">
        <v>366</v>
      </c>
      <c r="C302" s="182" t="s">
        <v>563</v>
      </c>
      <c r="D302" s="183" t="s">
        <v>556</v>
      </c>
      <c r="E302" s="184" t="s">
        <v>402</v>
      </c>
      <c r="F302" s="3">
        <f>+F297+F298+F299</f>
        <v>9</v>
      </c>
      <c r="G302" s="285"/>
      <c r="H302" s="186">
        <f t="shared" si="18"/>
        <v>0</v>
      </c>
      <c r="I302" s="90" t="s">
        <v>101</v>
      </c>
    </row>
    <row r="303" spans="1:11" ht="16.5">
      <c r="A303" s="180">
        <f aca="true" t="shared" si="19" ref="A303:A319">A302+1</f>
        <v>103</v>
      </c>
      <c r="B303" s="187" t="s">
        <v>693</v>
      </c>
      <c r="C303" s="240" t="s">
        <v>562</v>
      </c>
      <c r="D303" s="214" t="s">
        <v>557</v>
      </c>
      <c r="E303" s="215" t="s">
        <v>402</v>
      </c>
      <c r="F303" s="216">
        <f>+F297+F298</f>
        <v>8</v>
      </c>
      <c r="G303" s="287"/>
      <c r="H303" s="186">
        <f t="shared" si="18"/>
        <v>0</v>
      </c>
      <c r="I303" s="36" t="s">
        <v>101</v>
      </c>
      <c r="K303" s="230"/>
    </row>
    <row r="304" spans="1:11" ht="15" customHeight="1">
      <c r="A304" s="180">
        <f t="shared" si="19"/>
        <v>104</v>
      </c>
      <c r="B304" s="187" t="s">
        <v>558</v>
      </c>
      <c r="C304" s="182" t="s">
        <v>563</v>
      </c>
      <c r="D304" s="183" t="s">
        <v>559</v>
      </c>
      <c r="E304" s="184" t="s">
        <v>402</v>
      </c>
      <c r="F304" s="3">
        <f>+F302</f>
        <v>9</v>
      </c>
      <c r="G304" s="285"/>
      <c r="H304" s="186">
        <f t="shared" si="18"/>
        <v>0</v>
      </c>
      <c r="I304" s="90" t="s">
        <v>101</v>
      </c>
      <c r="K304" s="230" t="s">
        <v>691</v>
      </c>
    </row>
    <row r="305" spans="1:11" ht="15" customHeight="1">
      <c r="A305" s="180">
        <f t="shared" si="19"/>
        <v>105</v>
      </c>
      <c r="B305" s="187" t="s">
        <v>803</v>
      </c>
      <c r="C305" s="182"/>
      <c r="D305" s="183" t="s">
        <v>688</v>
      </c>
      <c r="E305" s="184" t="s">
        <v>402</v>
      </c>
      <c r="F305" s="3">
        <v>5</v>
      </c>
      <c r="G305" s="285"/>
      <c r="H305" s="186">
        <f t="shared" si="18"/>
        <v>0</v>
      </c>
      <c r="I305" s="90" t="s">
        <v>101</v>
      </c>
      <c r="K305" s="230" t="s">
        <v>698</v>
      </c>
    </row>
    <row r="306" spans="1:11" ht="15" customHeight="1">
      <c r="A306" s="180">
        <f t="shared" si="19"/>
        <v>106</v>
      </c>
      <c r="B306" s="187" t="s">
        <v>804</v>
      </c>
      <c r="C306" s="182"/>
      <c r="D306" s="183" t="s">
        <v>689</v>
      </c>
      <c r="E306" s="184" t="s">
        <v>402</v>
      </c>
      <c r="F306" s="3">
        <v>3</v>
      </c>
      <c r="G306" s="285"/>
      <c r="H306" s="186">
        <f t="shared" si="18"/>
        <v>0</v>
      </c>
      <c r="I306" s="90" t="s">
        <v>101</v>
      </c>
      <c r="K306" s="74" t="s">
        <v>699</v>
      </c>
    </row>
    <row r="307" spans="1:9" ht="15" customHeight="1">
      <c r="A307" s="180">
        <f t="shared" si="19"/>
        <v>107</v>
      </c>
      <c r="B307" s="187" t="s">
        <v>805</v>
      </c>
      <c r="C307" s="182"/>
      <c r="D307" s="183" t="s">
        <v>690</v>
      </c>
      <c r="E307" s="184" t="s">
        <v>402</v>
      </c>
      <c r="F307" s="3">
        <v>1</v>
      </c>
      <c r="G307" s="285"/>
      <c r="H307" s="186">
        <f t="shared" si="18"/>
        <v>0</v>
      </c>
      <c r="I307" s="90" t="s">
        <v>101</v>
      </c>
    </row>
    <row r="308" spans="1:9" ht="27" customHeight="1">
      <c r="A308" s="180">
        <f t="shared" si="19"/>
        <v>108</v>
      </c>
      <c r="B308" s="187" t="s">
        <v>806</v>
      </c>
      <c r="C308" s="182" t="s">
        <v>700</v>
      </c>
      <c r="D308" s="183" t="s">
        <v>684</v>
      </c>
      <c r="E308" s="184" t="s">
        <v>399</v>
      </c>
      <c r="F308" s="3">
        <v>1</v>
      </c>
      <c r="G308" s="285"/>
      <c r="H308" s="186">
        <f t="shared" si="18"/>
        <v>0</v>
      </c>
      <c r="I308" s="90" t="s">
        <v>101</v>
      </c>
    </row>
    <row r="309" spans="1:11" ht="16.5">
      <c r="A309" s="180">
        <f t="shared" si="19"/>
        <v>109</v>
      </c>
      <c r="B309" s="187" t="s">
        <v>692</v>
      </c>
      <c r="C309" s="240" t="s">
        <v>562</v>
      </c>
      <c r="D309" s="214" t="s">
        <v>560</v>
      </c>
      <c r="E309" s="215" t="s">
        <v>402</v>
      </c>
      <c r="F309" s="216">
        <f>+F303</f>
        <v>8</v>
      </c>
      <c r="G309" s="285"/>
      <c r="H309" s="186">
        <f>F309*G309</f>
        <v>0</v>
      </c>
      <c r="I309" s="36" t="s">
        <v>101</v>
      </c>
      <c r="K309" s="230"/>
    </row>
    <row r="310" spans="1:11" ht="25.5">
      <c r="A310" s="180">
        <f t="shared" si="19"/>
        <v>110</v>
      </c>
      <c r="B310" s="187" t="s">
        <v>807</v>
      </c>
      <c r="C310" s="182" t="s">
        <v>367</v>
      </c>
      <c r="D310" s="183" t="s">
        <v>694</v>
      </c>
      <c r="E310" s="184" t="s">
        <v>402</v>
      </c>
      <c r="F310" s="3">
        <v>1</v>
      </c>
      <c r="G310" s="285"/>
      <c r="H310" s="186">
        <f aca="true" t="shared" si="20" ref="H310:H319">F310*G310</f>
        <v>0</v>
      </c>
      <c r="I310" s="90" t="s">
        <v>101</v>
      </c>
      <c r="K310" s="230" t="s">
        <v>696</v>
      </c>
    </row>
    <row r="311" spans="1:9" ht="25.5">
      <c r="A311" s="180">
        <f t="shared" si="19"/>
        <v>111</v>
      </c>
      <c r="B311" s="187" t="s">
        <v>808</v>
      </c>
      <c r="C311" s="182" t="s">
        <v>587</v>
      </c>
      <c r="D311" s="183" t="s">
        <v>695</v>
      </c>
      <c r="E311" s="184" t="s">
        <v>402</v>
      </c>
      <c r="F311" s="3">
        <v>3</v>
      </c>
      <c r="G311" s="285"/>
      <c r="H311" s="186">
        <f>F311*G311</f>
        <v>0</v>
      </c>
      <c r="I311" s="90" t="s">
        <v>101</v>
      </c>
    </row>
    <row r="312" spans="1:11" ht="12.75">
      <c r="A312" s="180">
        <f t="shared" si="19"/>
        <v>112</v>
      </c>
      <c r="B312" s="187" t="s">
        <v>809</v>
      </c>
      <c r="C312" s="182"/>
      <c r="D312" s="183" t="s">
        <v>701</v>
      </c>
      <c r="E312" s="184" t="s">
        <v>400</v>
      </c>
      <c r="F312" s="3">
        <f>1.815*2.18+0.9*2.965*2+4*0.52*2.15+1.83*2.15+2*0.55*2.15</f>
        <v>20.065199999999997</v>
      </c>
      <c r="G312" s="285"/>
      <c r="H312" s="186">
        <f>F312*G312</f>
        <v>0</v>
      </c>
      <c r="I312" s="90" t="s">
        <v>101</v>
      </c>
      <c r="K312" s="74" t="s">
        <v>697</v>
      </c>
    </row>
    <row r="313" spans="1:9" ht="25.5">
      <c r="A313" s="180">
        <f t="shared" si="19"/>
        <v>113</v>
      </c>
      <c r="B313" s="187" t="s">
        <v>702</v>
      </c>
      <c r="C313" s="182" t="s">
        <v>3</v>
      </c>
      <c r="D313" s="183" t="s">
        <v>220</v>
      </c>
      <c r="E313" s="184" t="s">
        <v>408</v>
      </c>
      <c r="F313" s="3">
        <f>G314</f>
        <v>0</v>
      </c>
      <c r="G313" s="290"/>
      <c r="H313" s="186">
        <f t="shared" si="20"/>
        <v>0</v>
      </c>
      <c r="I313" s="90" t="s">
        <v>104</v>
      </c>
    </row>
    <row r="314" spans="1:11" ht="25.5">
      <c r="A314" s="180">
        <f t="shared" si="19"/>
        <v>114</v>
      </c>
      <c r="B314" s="187" t="s">
        <v>810</v>
      </c>
      <c r="C314" s="218" t="s">
        <v>2</v>
      </c>
      <c r="D314" s="219" t="s">
        <v>964</v>
      </c>
      <c r="E314" s="220" t="s">
        <v>399</v>
      </c>
      <c r="F314" s="4">
        <v>1</v>
      </c>
      <c r="G314" s="287"/>
      <c r="H314" s="221">
        <f t="shared" si="20"/>
        <v>0</v>
      </c>
      <c r="I314" s="90" t="s">
        <v>104</v>
      </c>
      <c r="K314" s="31"/>
    </row>
    <row r="315" spans="1:18" ht="25.5">
      <c r="A315" s="180">
        <f t="shared" si="19"/>
        <v>115</v>
      </c>
      <c r="B315" s="187" t="s">
        <v>812</v>
      </c>
      <c r="C315" s="182" t="s">
        <v>350</v>
      </c>
      <c r="D315" s="152" t="s">
        <v>564</v>
      </c>
      <c r="E315" s="184" t="s">
        <v>402</v>
      </c>
      <c r="F315" s="3">
        <v>1</v>
      </c>
      <c r="G315" s="285"/>
      <c r="H315" s="186">
        <f t="shared" si="20"/>
        <v>0</v>
      </c>
      <c r="I315" s="197" t="s">
        <v>104</v>
      </c>
      <c r="K315" s="230" t="s">
        <v>566</v>
      </c>
      <c r="O315" s="74"/>
      <c r="R315" s="34"/>
    </row>
    <row r="316" spans="1:18" ht="25.5">
      <c r="A316" s="180">
        <f t="shared" si="19"/>
        <v>116</v>
      </c>
      <c r="B316" s="187" t="s">
        <v>814</v>
      </c>
      <c r="C316" s="182" t="s">
        <v>350</v>
      </c>
      <c r="D316" s="152" t="s">
        <v>199</v>
      </c>
      <c r="E316" s="184" t="s">
        <v>402</v>
      </c>
      <c r="F316" s="3">
        <v>1</v>
      </c>
      <c r="G316" s="285"/>
      <c r="H316" s="186">
        <f t="shared" si="20"/>
        <v>0</v>
      </c>
      <c r="I316" s="197" t="s">
        <v>104</v>
      </c>
      <c r="K316" s="230" t="s">
        <v>200</v>
      </c>
      <c r="O316" s="74"/>
      <c r="R316" s="34"/>
    </row>
    <row r="317" spans="1:18" ht="25.5">
      <c r="A317" s="180">
        <f t="shared" si="19"/>
        <v>117</v>
      </c>
      <c r="B317" s="187" t="s">
        <v>813</v>
      </c>
      <c r="C317" s="182" t="s">
        <v>350</v>
      </c>
      <c r="D317" s="152" t="s">
        <v>965</v>
      </c>
      <c r="E317" s="184" t="s">
        <v>402</v>
      </c>
      <c r="F317" s="3">
        <v>1</v>
      </c>
      <c r="G317" s="285"/>
      <c r="H317" s="186">
        <f t="shared" si="20"/>
        <v>0</v>
      </c>
      <c r="I317" s="197" t="s">
        <v>104</v>
      </c>
      <c r="K317" s="230" t="s">
        <v>703</v>
      </c>
      <c r="O317" s="74"/>
      <c r="R317" s="34"/>
    </row>
    <row r="318" spans="1:11" ht="25.5">
      <c r="A318" s="180">
        <f t="shared" si="19"/>
        <v>118</v>
      </c>
      <c r="B318" s="187" t="s">
        <v>811</v>
      </c>
      <c r="C318" s="182" t="s">
        <v>350</v>
      </c>
      <c r="D318" s="152" t="s">
        <v>565</v>
      </c>
      <c r="E318" s="184" t="s">
        <v>402</v>
      </c>
      <c r="F318" s="3">
        <v>1</v>
      </c>
      <c r="G318" s="285"/>
      <c r="H318" s="186">
        <f t="shared" si="20"/>
        <v>0</v>
      </c>
      <c r="I318" s="90" t="s">
        <v>104</v>
      </c>
      <c r="K318" s="230" t="s">
        <v>567</v>
      </c>
    </row>
    <row r="319" spans="1:11" ht="13.5" thickBot="1">
      <c r="A319" s="180">
        <f t="shared" si="19"/>
        <v>119</v>
      </c>
      <c r="B319" s="187" t="s">
        <v>753</v>
      </c>
      <c r="C319" s="182"/>
      <c r="D319" s="183" t="s">
        <v>17</v>
      </c>
      <c r="E319" s="233" t="s">
        <v>408</v>
      </c>
      <c r="F319" s="3">
        <f>+H300+H303+H309+H310+H311+H314+H315+H316+H317+H318</f>
        <v>0</v>
      </c>
      <c r="G319" s="289"/>
      <c r="H319" s="234">
        <f t="shared" si="20"/>
        <v>0</v>
      </c>
      <c r="I319" s="90" t="s">
        <v>104</v>
      </c>
      <c r="K319" s="99"/>
    </row>
    <row r="320" spans="1:8" ht="13.5" thickBot="1">
      <c r="A320" s="180"/>
      <c r="B320" s="181"/>
      <c r="C320" s="182"/>
      <c r="D320" s="162" t="s">
        <v>401</v>
      </c>
      <c r="E320" s="163"/>
      <c r="F320" s="223"/>
      <c r="G320" s="224"/>
      <c r="H320" s="203">
        <f>SUM(H297:H319)</f>
        <v>0</v>
      </c>
    </row>
    <row r="321" spans="1:11" ht="12.75">
      <c r="A321" s="180"/>
      <c r="B321" s="181"/>
      <c r="C321" s="182"/>
      <c r="D321" s="204"/>
      <c r="E321" s="168"/>
      <c r="F321" s="64"/>
      <c r="G321" s="107"/>
      <c r="H321" s="205"/>
      <c r="I321" s="90"/>
      <c r="K321" s="74" t="s">
        <v>118</v>
      </c>
    </row>
    <row r="322" spans="1:9" ht="16.5">
      <c r="A322" s="180"/>
      <c r="B322" s="181"/>
      <c r="C322" s="207" t="s">
        <v>13</v>
      </c>
      <c r="D322" s="142" t="s">
        <v>16</v>
      </c>
      <c r="E322" s="142"/>
      <c r="F322" s="206"/>
      <c r="G322" s="142"/>
      <c r="H322" s="142"/>
      <c r="I322" s="90"/>
    </row>
    <row r="323" spans="1:9" ht="90" customHeight="1">
      <c r="A323" s="180"/>
      <c r="B323" s="181"/>
      <c r="C323" s="176"/>
      <c r="D323" s="316" t="s">
        <v>42</v>
      </c>
      <c r="E323" s="316"/>
      <c r="F323" s="316"/>
      <c r="G323" s="235"/>
      <c r="H323" s="235"/>
      <c r="I323" s="90"/>
    </row>
    <row r="324" spans="1:9" ht="12.75">
      <c r="A324" s="180">
        <f>A319+1</f>
        <v>120</v>
      </c>
      <c r="B324" s="181" t="s">
        <v>203</v>
      </c>
      <c r="C324" s="189" t="s">
        <v>3</v>
      </c>
      <c r="D324" s="183" t="s">
        <v>204</v>
      </c>
      <c r="E324" s="184" t="s">
        <v>5</v>
      </c>
      <c r="F324" s="3">
        <f>+F325</f>
        <v>6.12</v>
      </c>
      <c r="G324" s="286"/>
      <c r="H324" s="186">
        <f>F324*G324</f>
        <v>0</v>
      </c>
      <c r="I324" s="90" t="s">
        <v>101</v>
      </c>
    </row>
    <row r="325" spans="1:11" ht="25.5">
      <c r="A325" s="180">
        <f>A324+1</f>
        <v>121</v>
      </c>
      <c r="B325" s="181">
        <v>13330310</v>
      </c>
      <c r="C325" s="218" t="s">
        <v>2</v>
      </c>
      <c r="D325" s="219" t="s">
        <v>376</v>
      </c>
      <c r="E325" s="220" t="s">
        <v>5</v>
      </c>
      <c r="F325" s="4">
        <f>3.06*2</f>
        <v>6.12</v>
      </c>
      <c r="G325" s="291"/>
      <c r="H325" s="221">
        <f>F325*G325</f>
        <v>0</v>
      </c>
      <c r="I325" s="90" t="s">
        <v>101</v>
      </c>
      <c r="K325" s="230" t="s">
        <v>205</v>
      </c>
    </row>
    <row r="326" spans="1:11" ht="16.5">
      <c r="A326" s="180">
        <f>A325+1</f>
        <v>122</v>
      </c>
      <c r="B326" s="187" t="s">
        <v>971</v>
      </c>
      <c r="C326" s="218" t="s">
        <v>2</v>
      </c>
      <c r="D326" s="219" t="s">
        <v>970</v>
      </c>
      <c r="E326" s="220" t="s">
        <v>5</v>
      </c>
      <c r="F326" s="4">
        <f>9.32*0.3*2</f>
        <v>5.592</v>
      </c>
      <c r="G326" s="291"/>
      <c r="H326" s="221">
        <f>F326*G326</f>
        <v>0</v>
      </c>
      <c r="I326" s="90" t="s">
        <v>101</v>
      </c>
      <c r="K326" s="230"/>
    </row>
    <row r="327" spans="1:9" ht="12.75">
      <c r="A327" s="180">
        <f>A326+1</f>
        <v>123</v>
      </c>
      <c r="B327" s="187" t="s">
        <v>967</v>
      </c>
      <c r="C327" s="189" t="s">
        <v>350</v>
      </c>
      <c r="D327" s="183" t="s">
        <v>966</v>
      </c>
      <c r="E327" s="184" t="s">
        <v>403</v>
      </c>
      <c r="F327" s="3">
        <f>2+0.6</f>
        <v>2.6</v>
      </c>
      <c r="G327" s="286"/>
      <c r="H327" s="221">
        <f>F327*G327</f>
        <v>0</v>
      </c>
      <c r="I327" s="90" t="s">
        <v>101</v>
      </c>
    </row>
    <row r="328" spans="1:9" ht="13.5" thickBot="1">
      <c r="A328" s="180">
        <f>A327+1</f>
        <v>124</v>
      </c>
      <c r="B328" s="187" t="s">
        <v>753</v>
      </c>
      <c r="C328" s="182"/>
      <c r="D328" s="183" t="s">
        <v>17</v>
      </c>
      <c r="E328" s="233" t="s">
        <v>408</v>
      </c>
      <c r="F328" s="3">
        <f>+H325</f>
        <v>0</v>
      </c>
      <c r="G328" s="289"/>
      <c r="H328" s="234">
        <f>F328*G328</f>
        <v>0</v>
      </c>
      <c r="I328" s="90" t="s">
        <v>101</v>
      </c>
    </row>
    <row r="329" spans="1:8" ht="13.5" thickBot="1">
      <c r="A329" s="180"/>
      <c r="B329" s="181"/>
      <c r="C329" s="182"/>
      <c r="D329" s="162" t="s">
        <v>401</v>
      </c>
      <c r="E329" s="163"/>
      <c r="F329" s="223"/>
      <c r="G329" s="224"/>
      <c r="H329" s="203">
        <f>SUBTOTAL(9,H324:H328)</f>
        <v>0</v>
      </c>
    </row>
    <row r="330" spans="1:9" ht="12.75">
      <c r="A330" s="180"/>
      <c r="B330" s="181"/>
      <c r="C330" s="182"/>
      <c r="D330" s="204"/>
      <c r="E330" s="168"/>
      <c r="F330" s="64"/>
      <c r="G330" s="107"/>
      <c r="H330" s="205"/>
      <c r="I330" s="90"/>
    </row>
    <row r="331" spans="1:9" ht="16.5">
      <c r="A331" s="180"/>
      <c r="B331" s="181"/>
      <c r="C331" s="207" t="s">
        <v>14</v>
      </c>
      <c r="D331" s="142" t="s">
        <v>33</v>
      </c>
      <c r="E331" s="142"/>
      <c r="F331" s="206"/>
      <c r="G331" s="142"/>
      <c r="H331" s="142"/>
      <c r="I331" s="90"/>
    </row>
    <row r="332" spans="1:9" ht="72.75" customHeight="1">
      <c r="A332" s="180"/>
      <c r="B332" s="181"/>
      <c r="C332" s="176"/>
      <c r="D332" s="316" t="s">
        <v>37</v>
      </c>
      <c r="E332" s="316"/>
      <c r="F332" s="316"/>
      <c r="G332" s="235"/>
      <c r="H332" s="235"/>
      <c r="I332" s="90"/>
    </row>
    <row r="333" spans="1:10" s="99" customFormat="1" ht="12.75">
      <c r="A333" s="190">
        <f>A328+1</f>
        <v>125</v>
      </c>
      <c r="B333" s="231" t="s">
        <v>571</v>
      </c>
      <c r="C333" s="151" t="s">
        <v>580</v>
      </c>
      <c r="D333" s="152" t="s">
        <v>572</v>
      </c>
      <c r="E333" s="153" t="s">
        <v>400</v>
      </c>
      <c r="F333" s="7">
        <f>(1.32+4.47)*0.5</f>
        <v>2.895</v>
      </c>
      <c r="G333" s="285"/>
      <c r="H333" s="155">
        <f>F333*G333</f>
        <v>0</v>
      </c>
      <c r="I333" s="36" t="s">
        <v>101</v>
      </c>
      <c r="J333" s="296"/>
    </row>
    <row r="334" spans="1:10" s="99" customFormat="1" ht="25.5">
      <c r="A334" s="190">
        <f>A333+1</f>
        <v>126</v>
      </c>
      <c r="B334" s="231" t="s">
        <v>573</v>
      </c>
      <c r="C334" s="151" t="s">
        <v>580</v>
      </c>
      <c r="D334" s="152" t="s">
        <v>574</v>
      </c>
      <c r="E334" s="153" t="s">
        <v>400</v>
      </c>
      <c r="F334" s="7">
        <f>(1.32+4.47)*0.1</f>
        <v>0.5790000000000001</v>
      </c>
      <c r="G334" s="286"/>
      <c r="H334" s="155">
        <f>F334*G334</f>
        <v>0</v>
      </c>
      <c r="I334" s="36" t="s">
        <v>101</v>
      </c>
      <c r="J334" s="296"/>
    </row>
    <row r="335" spans="1:10" s="99" customFormat="1" ht="12.75">
      <c r="A335" s="190">
        <f>A334+1</f>
        <v>127</v>
      </c>
      <c r="B335" s="231" t="s">
        <v>280</v>
      </c>
      <c r="C335" s="151" t="s">
        <v>580</v>
      </c>
      <c r="D335" s="152" t="s">
        <v>279</v>
      </c>
      <c r="E335" s="153" t="s">
        <v>400</v>
      </c>
      <c r="F335" s="5">
        <f>+(1.32+4.47)</f>
        <v>5.79</v>
      </c>
      <c r="G335" s="286"/>
      <c r="H335" s="155">
        <f>F335*G335</f>
        <v>0</v>
      </c>
      <c r="I335" s="36" t="s">
        <v>101</v>
      </c>
      <c r="J335" s="296"/>
    </row>
    <row r="336" spans="1:10" s="99" customFormat="1" ht="12.75">
      <c r="A336" s="190">
        <f>A335+1</f>
        <v>128</v>
      </c>
      <c r="B336" s="188" t="s">
        <v>575</v>
      </c>
      <c r="C336" s="151" t="s">
        <v>580</v>
      </c>
      <c r="D336" s="152" t="s">
        <v>576</v>
      </c>
      <c r="E336" s="153" t="s">
        <v>400</v>
      </c>
      <c r="F336" s="7">
        <f>1.32+4.47</f>
        <v>5.79</v>
      </c>
      <c r="G336" s="285"/>
      <c r="H336" s="155">
        <f>F336*G336</f>
        <v>0</v>
      </c>
      <c r="I336" s="36" t="s">
        <v>101</v>
      </c>
      <c r="J336" s="296"/>
    </row>
    <row r="337" spans="1:10" s="99" customFormat="1" ht="25.5">
      <c r="A337" s="190">
        <f>A336+1</f>
        <v>129</v>
      </c>
      <c r="B337" s="231" t="s">
        <v>577</v>
      </c>
      <c r="C337" s="151" t="s">
        <v>580</v>
      </c>
      <c r="D337" s="152" t="s">
        <v>578</v>
      </c>
      <c r="E337" s="153" t="s">
        <v>400</v>
      </c>
      <c r="F337" s="7">
        <f>+F336</f>
        <v>5.79</v>
      </c>
      <c r="G337" s="285"/>
      <c r="H337" s="155">
        <f>F337*G337</f>
        <v>0</v>
      </c>
      <c r="I337" s="36" t="s">
        <v>101</v>
      </c>
      <c r="J337" s="296"/>
    </row>
    <row r="338" spans="1:9" ht="12.75">
      <c r="A338" s="190">
        <f>A337+1</f>
        <v>130</v>
      </c>
      <c r="B338" s="188" t="s">
        <v>440</v>
      </c>
      <c r="C338" s="189" t="s">
        <v>579</v>
      </c>
      <c r="D338" s="183" t="s">
        <v>218</v>
      </c>
      <c r="E338" s="184" t="s">
        <v>400</v>
      </c>
      <c r="F338" s="3">
        <f>(3.64+11.29)*2</f>
        <v>29.86</v>
      </c>
      <c r="G338" s="285"/>
      <c r="H338" s="186">
        <f aca="true" t="shared" si="21" ref="H338:H349">F338*G338</f>
        <v>0</v>
      </c>
      <c r="I338" s="197" t="s">
        <v>101</v>
      </c>
    </row>
    <row r="339" spans="1:11" ht="16.5">
      <c r="A339" s="180">
        <f aca="true" t="shared" si="22" ref="A339:A346">A338+1</f>
        <v>131</v>
      </c>
      <c r="B339" s="188">
        <v>28375705</v>
      </c>
      <c r="C339" s="189" t="s">
        <v>579</v>
      </c>
      <c r="D339" s="219" t="s">
        <v>416</v>
      </c>
      <c r="E339" s="220" t="s">
        <v>139</v>
      </c>
      <c r="F339" s="216">
        <f>(3.64*2)*1.1*0.03+(11.29)*1.1*0.03</f>
        <v>0.6128100000000001</v>
      </c>
      <c r="G339" s="287"/>
      <c r="H339" s="221">
        <f t="shared" si="21"/>
        <v>0</v>
      </c>
      <c r="I339" s="90" t="s">
        <v>101</v>
      </c>
      <c r="J339" s="306"/>
      <c r="K339" s="230" t="s">
        <v>217</v>
      </c>
    </row>
    <row r="340" spans="1:11" ht="16.5">
      <c r="A340" s="180">
        <f t="shared" si="22"/>
        <v>132</v>
      </c>
      <c r="B340" s="188">
        <v>28375705</v>
      </c>
      <c r="C340" s="189" t="s">
        <v>579</v>
      </c>
      <c r="D340" s="219" t="s">
        <v>592</v>
      </c>
      <c r="E340" s="220" t="s">
        <v>139</v>
      </c>
      <c r="F340" s="216">
        <f>(11.29)*1.1*0.04</f>
        <v>0.49676000000000003</v>
      </c>
      <c r="G340" s="287"/>
      <c r="H340" s="221">
        <f>F340*G340</f>
        <v>0</v>
      </c>
      <c r="I340" s="90" t="s">
        <v>101</v>
      </c>
      <c r="J340" s="306"/>
      <c r="K340" s="230"/>
    </row>
    <row r="341" spans="1:9" ht="25.5">
      <c r="A341" s="180">
        <f t="shared" si="22"/>
        <v>133</v>
      </c>
      <c r="B341" s="188" t="s">
        <v>441</v>
      </c>
      <c r="C341" s="189" t="s">
        <v>579</v>
      </c>
      <c r="D341" s="183" t="s">
        <v>219</v>
      </c>
      <c r="E341" s="184" t="s">
        <v>400</v>
      </c>
      <c r="F341" s="3">
        <f>3.64+11.29</f>
        <v>14.93</v>
      </c>
      <c r="G341" s="285"/>
      <c r="H341" s="186">
        <f t="shared" si="21"/>
        <v>0</v>
      </c>
      <c r="I341" s="197" t="s">
        <v>101</v>
      </c>
    </row>
    <row r="342" spans="1:9" ht="25.5">
      <c r="A342" s="180">
        <f t="shared" si="22"/>
        <v>134</v>
      </c>
      <c r="B342" s="188" t="s">
        <v>972</v>
      </c>
      <c r="C342" s="189" t="s">
        <v>579</v>
      </c>
      <c r="D342" s="152" t="s">
        <v>986</v>
      </c>
      <c r="E342" s="184" t="s">
        <v>400</v>
      </c>
      <c r="F342" s="3">
        <f>+F341</f>
        <v>14.93</v>
      </c>
      <c r="G342" s="285"/>
      <c r="H342" s="186">
        <f t="shared" si="21"/>
        <v>0</v>
      </c>
      <c r="I342" s="197" t="s">
        <v>101</v>
      </c>
    </row>
    <row r="343" spans="1:9" ht="12.75">
      <c r="A343" s="180">
        <f t="shared" si="22"/>
        <v>135</v>
      </c>
      <c r="B343" s="188" t="s">
        <v>443</v>
      </c>
      <c r="C343" s="189" t="s">
        <v>579</v>
      </c>
      <c r="D343" s="152" t="s">
        <v>442</v>
      </c>
      <c r="E343" s="184" t="s">
        <v>400</v>
      </c>
      <c r="F343" s="3">
        <f>+F342</f>
        <v>14.93</v>
      </c>
      <c r="G343" s="286"/>
      <c r="H343" s="186">
        <f t="shared" si="21"/>
        <v>0</v>
      </c>
      <c r="I343" s="90" t="s">
        <v>101</v>
      </c>
    </row>
    <row r="344" spans="1:9" ht="12.75">
      <c r="A344" s="180">
        <f t="shared" si="22"/>
        <v>136</v>
      </c>
      <c r="B344" s="188" t="s">
        <v>280</v>
      </c>
      <c r="C344" s="189" t="s">
        <v>579</v>
      </c>
      <c r="D344" s="183" t="s">
        <v>279</v>
      </c>
      <c r="E344" s="184" t="s">
        <v>400</v>
      </c>
      <c r="F344" s="3">
        <f>+F343</f>
        <v>14.93</v>
      </c>
      <c r="G344" s="286"/>
      <c r="H344" s="186">
        <f t="shared" si="21"/>
        <v>0</v>
      </c>
      <c r="I344" s="90" t="s">
        <v>101</v>
      </c>
    </row>
    <row r="345" spans="1:9" ht="12.75">
      <c r="A345" s="180">
        <f t="shared" si="22"/>
        <v>137</v>
      </c>
      <c r="B345" s="188" t="s">
        <v>444</v>
      </c>
      <c r="C345" s="189" t="s">
        <v>579</v>
      </c>
      <c r="D345" s="152" t="s">
        <v>445</v>
      </c>
      <c r="E345" s="153" t="s">
        <v>400</v>
      </c>
      <c r="F345" s="3">
        <f>+F344</f>
        <v>14.93</v>
      </c>
      <c r="G345" s="285"/>
      <c r="H345" s="186">
        <f t="shared" si="21"/>
        <v>0</v>
      </c>
      <c r="I345" s="90" t="s">
        <v>101</v>
      </c>
    </row>
    <row r="346" spans="1:9" ht="25.5">
      <c r="A346" s="180">
        <f t="shared" si="22"/>
        <v>138</v>
      </c>
      <c r="B346" s="181" t="s">
        <v>368</v>
      </c>
      <c r="C346" s="182" t="s">
        <v>581</v>
      </c>
      <c r="D346" s="183" t="s">
        <v>281</v>
      </c>
      <c r="E346" s="184" t="s">
        <v>400</v>
      </c>
      <c r="F346" s="3">
        <f>3.64+1.32+4.47</f>
        <v>9.43</v>
      </c>
      <c r="G346" s="285"/>
      <c r="H346" s="186">
        <f t="shared" si="21"/>
        <v>0</v>
      </c>
      <c r="I346" s="90" t="s">
        <v>101</v>
      </c>
    </row>
    <row r="347" spans="1:9" ht="27">
      <c r="A347" s="180">
        <f aca="true" t="shared" si="23" ref="A347:A356">A346+1</f>
        <v>139</v>
      </c>
      <c r="B347" s="187" t="s">
        <v>800</v>
      </c>
      <c r="C347" s="218" t="s">
        <v>582</v>
      </c>
      <c r="D347" s="219" t="s">
        <v>310</v>
      </c>
      <c r="E347" s="220" t="s">
        <v>5</v>
      </c>
      <c r="F347" s="4">
        <f>1.5*F346</f>
        <v>14.145</v>
      </c>
      <c r="G347" s="287"/>
      <c r="H347" s="221">
        <f t="shared" si="21"/>
        <v>0</v>
      </c>
      <c r="I347" s="90" t="s">
        <v>101</v>
      </c>
    </row>
    <row r="348" spans="1:18" ht="12.75">
      <c r="A348" s="180">
        <f t="shared" si="23"/>
        <v>140</v>
      </c>
      <c r="B348" s="181" t="s">
        <v>344</v>
      </c>
      <c r="C348" s="182" t="s">
        <v>581</v>
      </c>
      <c r="D348" s="183" t="s">
        <v>273</v>
      </c>
      <c r="E348" s="184" t="s">
        <v>403</v>
      </c>
      <c r="F348" s="3">
        <f>F349</f>
        <v>16.5</v>
      </c>
      <c r="G348" s="285"/>
      <c r="H348" s="186">
        <f t="shared" si="21"/>
        <v>0</v>
      </c>
      <c r="I348" s="197" t="s">
        <v>101</v>
      </c>
      <c r="K348" s="31"/>
      <c r="O348" s="74"/>
      <c r="R348" s="34"/>
    </row>
    <row r="349" spans="1:9" ht="25.5">
      <c r="A349" s="180">
        <f t="shared" si="23"/>
        <v>141</v>
      </c>
      <c r="B349" s="181">
        <v>28355360</v>
      </c>
      <c r="C349" s="218" t="s">
        <v>582</v>
      </c>
      <c r="D349" s="219" t="s">
        <v>111</v>
      </c>
      <c r="E349" s="220" t="s">
        <v>403</v>
      </c>
      <c r="F349" s="216">
        <f>7.04-0.9+4.97-0.75+6.14</f>
        <v>16.5</v>
      </c>
      <c r="G349" s="287"/>
      <c r="H349" s="221">
        <f t="shared" si="21"/>
        <v>0</v>
      </c>
      <c r="I349" s="90" t="s">
        <v>101</v>
      </c>
    </row>
    <row r="350" spans="1:9" ht="25.5">
      <c r="A350" s="180">
        <f t="shared" si="23"/>
        <v>142</v>
      </c>
      <c r="B350" s="187" t="s">
        <v>973</v>
      </c>
      <c r="C350" s="182" t="s">
        <v>106</v>
      </c>
      <c r="D350" s="183" t="s">
        <v>584</v>
      </c>
      <c r="E350" s="184" t="s">
        <v>400</v>
      </c>
      <c r="F350" s="3">
        <f>11.29+4.47+3.64+1.32</f>
        <v>20.72</v>
      </c>
      <c r="G350" s="285"/>
      <c r="H350" s="186">
        <f aca="true" t="shared" si="24" ref="H350:H356">F350*G350</f>
        <v>0</v>
      </c>
      <c r="I350" s="90" t="s">
        <v>101</v>
      </c>
    </row>
    <row r="351" spans="1:11" ht="25.5">
      <c r="A351" s="180">
        <f t="shared" si="23"/>
        <v>143</v>
      </c>
      <c r="B351" s="187" t="s">
        <v>816</v>
      </c>
      <c r="C351" s="218" t="s">
        <v>585</v>
      </c>
      <c r="D351" s="219" t="s">
        <v>583</v>
      </c>
      <c r="E351" s="220" t="s">
        <v>400</v>
      </c>
      <c r="F351" s="216">
        <f>(11.29+4.47)*1.1</f>
        <v>17.336</v>
      </c>
      <c r="G351" s="287"/>
      <c r="H351" s="221">
        <f t="shared" si="24"/>
        <v>0</v>
      </c>
      <c r="I351" s="90" t="s">
        <v>101</v>
      </c>
      <c r="J351" s="306"/>
      <c r="K351" s="230" t="s">
        <v>588</v>
      </c>
    </row>
    <row r="352" spans="1:11" ht="25.5">
      <c r="A352" s="180">
        <f t="shared" si="23"/>
        <v>144</v>
      </c>
      <c r="B352" s="187" t="s">
        <v>815</v>
      </c>
      <c r="C352" s="218" t="s">
        <v>582</v>
      </c>
      <c r="D352" s="219" t="s">
        <v>586</v>
      </c>
      <c r="E352" s="220" t="s">
        <v>400</v>
      </c>
      <c r="F352" s="216">
        <f>(3.64+1.32)*1.1</f>
        <v>5.456</v>
      </c>
      <c r="G352" s="287"/>
      <c r="H352" s="221">
        <f>F352*G352</f>
        <v>0</v>
      </c>
      <c r="I352" s="90" t="s">
        <v>101</v>
      </c>
      <c r="J352" s="306"/>
      <c r="K352" s="230" t="s">
        <v>589</v>
      </c>
    </row>
    <row r="353" spans="1:11" ht="25.5">
      <c r="A353" s="180">
        <f t="shared" si="23"/>
        <v>145</v>
      </c>
      <c r="B353" s="181" t="s">
        <v>369</v>
      </c>
      <c r="C353" s="182" t="s">
        <v>41</v>
      </c>
      <c r="D353" s="152" t="s">
        <v>300</v>
      </c>
      <c r="E353" s="184" t="s">
        <v>403</v>
      </c>
      <c r="F353" s="7">
        <f>14.6-4*1.45-0.8-0.75</f>
        <v>7.25</v>
      </c>
      <c r="G353" s="285"/>
      <c r="H353" s="186">
        <f t="shared" si="24"/>
        <v>0</v>
      </c>
      <c r="I353" s="90" t="s">
        <v>101</v>
      </c>
      <c r="K353" s="241"/>
    </row>
    <row r="354" spans="1:9" ht="25.5">
      <c r="A354" s="180">
        <f t="shared" si="23"/>
        <v>146</v>
      </c>
      <c r="B354" s="187" t="s">
        <v>817</v>
      </c>
      <c r="C354" s="218" t="s">
        <v>40</v>
      </c>
      <c r="D354" s="219" t="s">
        <v>301</v>
      </c>
      <c r="E354" s="220" t="s">
        <v>403</v>
      </c>
      <c r="F354" s="4">
        <f>1.1*F353</f>
        <v>7.9750000000000005</v>
      </c>
      <c r="G354" s="287"/>
      <c r="H354" s="221">
        <f t="shared" si="24"/>
        <v>0</v>
      </c>
      <c r="I354" s="90" t="s">
        <v>101</v>
      </c>
    </row>
    <row r="355" spans="1:9" ht="25.5">
      <c r="A355" s="180">
        <f t="shared" si="23"/>
        <v>147</v>
      </c>
      <c r="B355" s="187" t="s">
        <v>818</v>
      </c>
      <c r="C355" s="182"/>
      <c r="D355" s="183" t="s">
        <v>274</v>
      </c>
      <c r="E355" s="184" t="s">
        <v>399</v>
      </c>
      <c r="F355" s="3">
        <v>1</v>
      </c>
      <c r="G355" s="285"/>
      <c r="H355" s="186">
        <f t="shared" si="24"/>
        <v>0</v>
      </c>
      <c r="I355" s="90" t="s">
        <v>101</v>
      </c>
    </row>
    <row r="356" spans="1:9" ht="13.5" thickBot="1">
      <c r="A356" s="180">
        <f t="shared" si="23"/>
        <v>148</v>
      </c>
      <c r="B356" s="187" t="s">
        <v>753</v>
      </c>
      <c r="C356" s="182"/>
      <c r="D356" s="183" t="s">
        <v>17</v>
      </c>
      <c r="E356" s="233" t="s">
        <v>408</v>
      </c>
      <c r="F356" s="3">
        <f>+H337+H339+H340+H341+H345+H347+H349+H351+H352+H354+H355</f>
        <v>0</v>
      </c>
      <c r="G356" s="289"/>
      <c r="H356" s="234">
        <f t="shared" si="24"/>
        <v>0</v>
      </c>
      <c r="I356" s="90" t="s">
        <v>101</v>
      </c>
    </row>
    <row r="357" spans="1:8" ht="13.5" thickBot="1">
      <c r="A357" s="180"/>
      <c r="B357" s="181"/>
      <c r="C357" s="182"/>
      <c r="D357" s="162" t="s">
        <v>401</v>
      </c>
      <c r="E357" s="163"/>
      <c r="F357" s="223"/>
      <c r="G357" s="224"/>
      <c r="H357" s="203">
        <f>SUBTOTAL(9,H333:H356)</f>
        <v>0</v>
      </c>
    </row>
    <row r="358" spans="1:9" ht="12.75">
      <c r="A358" s="180"/>
      <c r="B358" s="181"/>
      <c r="C358" s="182"/>
      <c r="D358" s="204"/>
      <c r="E358" s="168"/>
      <c r="F358" s="64"/>
      <c r="G358" s="107"/>
      <c r="H358" s="205"/>
      <c r="I358" s="90"/>
    </row>
    <row r="359" spans="1:9" ht="16.5">
      <c r="A359" s="180"/>
      <c r="B359" s="181"/>
      <c r="C359" s="207" t="s">
        <v>15</v>
      </c>
      <c r="D359" s="142" t="s">
        <v>134</v>
      </c>
      <c r="E359" s="142"/>
      <c r="F359" s="206"/>
      <c r="G359" s="142"/>
      <c r="H359" s="142"/>
      <c r="I359" s="90"/>
    </row>
    <row r="360" spans="1:9" ht="77.25" customHeight="1">
      <c r="A360" s="180"/>
      <c r="B360" s="181"/>
      <c r="C360" s="176"/>
      <c r="D360" s="336" t="s">
        <v>34</v>
      </c>
      <c r="E360" s="336"/>
      <c r="F360" s="336"/>
      <c r="G360" s="242"/>
      <c r="H360" s="242"/>
      <c r="I360" s="90"/>
    </row>
    <row r="361" spans="1:10" s="99" customFormat="1" ht="12.75">
      <c r="A361" s="190">
        <f>A356+1</f>
        <v>149</v>
      </c>
      <c r="B361" s="231" t="s">
        <v>593</v>
      </c>
      <c r="C361" s="243"/>
      <c r="D361" s="152" t="s">
        <v>594</v>
      </c>
      <c r="E361" s="153" t="s">
        <v>400</v>
      </c>
      <c r="F361" s="5">
        <f>24.23+37.13+20.2</f>
        <v>81.56</v>
      </c>
      <c r="G361" s="286"/>
      <c r="H361" s="155">
        <f aca="true" t="shared" si="25" ref="H361:H376">F361*G361</f>
        <v>0</v>
      </c>
      <c r="I361" s="135" t="s">
        <v>101</v>
      </c>
      <c r="J361" s="307"/>
    </row>
    <row r="362" spans="1:10" s="99" customFormat="1" ht="12.75">
      <c r="A362" s="190">
        <f aca="true" t="shared" si="26" ref="A362:A376">A361+1</f>
        <v>150</v>
      </c>
      <c r="B362" s="231" t="s">
        <v>595</v>
      </c>
      <c r="C362" s="243"/>
      <c r="D362" s="152" t="s">
        <v>596</v>
      </c>
      <c r="E362" s="153" t="s">
        <v>400</v>
      </c>
      <c r="F362" s="5">
        <f>+F361</f>
        <v>81.56</v>
      </c>
      <c r="G362" s="286"/>
      <c r="H362" s="155">
        <f t="shared" si="25"/>
        <v>0</v>
      </c>
      <c r="I362" s="135" t="s">
        <v>101</v>
      </c>
      <c r="J362" s="307"/>
    </row>
    <row r="363" spans="1:10" s="99" customFormat="1" ht="12.75">
      <c r="A363" s="190">
        <f t="shared" si="26"/>
        <v>151</v>
      </c>
      <c r="B363" s="231" t="s">
        <v>597</v>
      </c>
      <c r="C363" s="244"/>
      <c r="D363" s="152" t="s">
        <v>598</v>
      </c>
      <c r="E363" s="153" t="s">
        <v>399</v>
      </c>
      <c r="F363" s="5">
        <f>F362*0.4</f>
        <v>32.624</v>
      </c>
      <c r="G363" s="286"/>
      <c r="H363" s="155">
        <f t="shared" si="25"/>
        <v>0</v>
      </c>
      <c r="I363" s="135" t="s">
        <v>101</v>
      </c>
      <c r="J363" s="307"/>
    </row>
    <row r="364" spans="1:10" s="99" customFormat="1" ht="25.5">
      <c r="A364" s="190">
        <f t="shared" si="26"/>
        <v>152</v>
      </c>
      <c r="B364" s="231" t="s">
        <v>599</v>
      </c>
      <c r="C364" s="243"/>
      <c r="D364" s="152" t="s">
        <v>600</v>
      </c>
      <c r="E364" s="153" t="s">
        <v>400</v>
      </c>
      <c r="F364" s="5">
        <f>+F361</f>
        <v>81.56</v>
      </c>
      <c r="G364" s="286"/>
      <c r="H364" s="155">
        <f t="shared" si="25"/>
        <v>0</v>
      </c>
      <c r="I364" s="135" t="s">
        <v>101</v>
      </c>
      <c r="J364" s="307"/>
    </row>
    <row r="365" spans="1:10" s="99" customFormat="1" ht="25.5">
      <c r="A365" s="190">
        <f t="shared" si="26"/>
        <v>153</v>
      </c>
      <c r="B365" s="231" t="s">
        <v>605</v>
      </c>
      <c r="C365" s="243" t="s">
        <v>3</v>
      </c>
      <c r="D365" s="152" t="s">
        <v>606</v>
      </c>
      <c r="E365" s="153" t="s">
        <v>399</v>
      </c>
      <c r="F365" s="5">
        <v>1</v>
      </c>
      <c r="G365" s="286"/>
      <c r="H365" s="155">
        <f t="shared" si="25"/>
        <v>0</v>
      </c>
      <c r="I365" s="135" t="s">
        <v>101</v>
      </c>
      <c r="J365" s="307"/>
    </row>
    <row r="366" spans="1:11" s="99" customFormat="1" ht="16.5">
      <c r="A366" s="190">
        <f t="shared" si="26"/>
        <v>154</v>
      </c>
      <c r="B366" s="193" t="s">
        <v>819</v>
      </c>
      <c r="C366" s="151" t="s">
        <v>2</v>
      </c>
      <c r="D366" s="214" t="s">
        <v>725</v>
      </c>
      <c r="E366" s="215" t="s">
        <v>400</v>
      </c>
      <c r="F366" s="216">
        <v>1.5</v>
      </c>
      <c r="G366" s="287"/>
      <c r="H366" s="217">
        <f t="shared" si="25"/>
        <v>0</v>
      </c>
      <c r="I366" s="36" t="s">
        <v>101</v>
      </c>
      <c r="J366" s="296"/>
      <c r="K366" s="230"/>
    </row>
    <row r="367" spans="1:10" s="99" customFormat="1" ht="12.75">
      <c r="A367" s="190">
        <f t="shared" si="26"/>
        <v>155</v>
      </c>
      <c r="B367" s="188" t="s">
        <v>607</v>
      </c>
      <c r="C367" s="151"/>
      <c r="D367" s="152" t="s">
        <v>608</v>
      </c>
      <c r="E367" s="153" t="s">
        <v>400</v>
      </c>
      <c r="F367" s="7">
        <f>15.5+5.1</f>
        <v>20.6</v>
      </c>
      <c r="G367" s="285"/>
      <c r="H367" s="155">
        <f t="shared" si="25"/>
        <v>0</v>
      </c>
      <c r="I367" s="36" t="s">
        <v>101</v>
      </c>
      <c r="J367" s="296"/>
    </row>
    <row r="368" spans="1:10" s="99" customFormat="1" ht="25.5">
      <c r="A368" s="190">
        <f t="shared" si="26"/>
        <v>156</v>
      </c>
      <c r="B368" s="188" t="s">
        <v>609</v>
      </c>
      <c r="C368" s="151"/>
      <c r="D368" s="152" t="s">
        <v>578</v>
      </c>
      <c r="E368" s="152" t="s">
        <v>400</v>
      </c>
      <c r="F368" s="7">
        <f>+F367</f>
        <v>20.6</v>
      </c>
      <c r="G368" s="285"/>
      <c r="H368" s="155">
        <f t="shared" si="25"/>
        <v>0</v>
      </c>
      <c r="I368" s="197" t="s">
        <v>101</v>
      </c>
      <c r="J368" s="296"/>
    </row>
    <row r="369" spans="1:10" s="99" customFormat="1" ht="12.75">
      <c r="A369" s="190">
        <f t="shared" si="26"/>
        <v>157</v>
      </c>
      <c r="B369" s="188" t="s">
        <v>820</v>
      </c>
      <c r="C369" s="151"/>
      <c r="D369" s="152" t="s">
        <v>610</v>
      </c>
      <c r="E369" s="152" t="s">
        <v>400</v>
      </c>
      <c r="F369" s="7">
        <f>+F368</f>
        <v>20.6</v>
      </c>
      <c r="G369" s="285"/>
      <c r="H369" s="155">
        <f t="shared" si="25"/>
        <v>0</v>
      </c>
      <c r="I369" s="36" t="s">
        <v>101</v>
      </c>
      <c r="J369" s="296"/>
    </row>
    <row r="370" spans="1:10" s="99" customFormat="1" ht="12.75">
      <c r="A370" s="190">
        <f t="shared" si="26"/>
        <v>158</v>
      </c>
      <c r="B370" s="193" t="s">
        <v>704</v>
      </c>
      <c r="C370" s="151"/>
      <c r="D370" s="152" t="s">
        <v>611</v>
      </c>
      <c r="E370" s="152" t="s">
        <v>400</v>
      </c>
      <c r="F370" s="7">
        <f>+F369</f>
        <v>20.6</v>
      </c>
      <c r="G370" s="285"/>
      <c r="H370" s="155">
        <f t="shared" si="25"/>
        <v>0</v>
      </c>
      <c r="I370" s="36" t="s">
        <v>101</v>
      </c>
      <c r="J370" s="296"/>
    </row>
    <row r="371" spans="1:11" s="99" customFormat="1" ht="25.5">
      <c r="A371" s="190">
        <f t="shared" si="26"/>
        <v>159</v>
      </c>
      <c r="B371" s="193" t="s">
        <v>821</v>
      </c>
      <c r="C371" s="151"/>
      <c r="D371" s="214" t="s">
        <v>612</v>
      </c>
      <c r="E371" s="215" t="s">
        <v>400</v>
      </c>
      <c r="F371" s="216">
        <f>1.1*F369</f>
        <v>22.660000000000004</v>
      </c>
      <c r="G371" s="292"/>
      <c r="H371" s="217">
        <f t="shared" si="25"/>
        <v>0</v>
      </c>
      <c r="I371" s="36" t="s">
        <v>101</v>
      </c>
      <c r="J371" s="296"/>
      <c r="K371" s="230" t="s">
        <v>613</v>
      </c>
    </row>
    <row r="372" spans="1:10" s="99" customFormat="1" ht="12.75">
      <c r="A372" s="190">
        <f t="shared" si="26"/>
        <v>160</v>
      </c>
      <c r="B372" s="245" t="s">
        <v>601</v>
      </c>
      <c r="C372" s="151" t="s">
        <v>100</v>
      </c>
      <c r="D372" s="152" t="s">
        <v>602</v>
      </c>
      <c r="E372" s="153" t="s">
        <v>403</v>
      </c>
      <c r="F372" s="5">
        <f>18.75-1.45-0.8+27.7-3*1.45-0.8+20.8-2*1.45+16.8-1.45-0.75-0.65+9.75-0.75</f>
        <v>79.9</v>
      </c>
      <c r="G372" s="286"/>
      <c r="H372" s="155">
        <f t="shared" si="25"/>
        <v>0</v>
      </c>
      <c r="I372" s="135" t="s">
        <v>101</v>
      </c>
      <c r="J372" s="307"/>
    </row>
    <row r="373" spans="1:11" s="99" customFormat="1" ht="16.5">
      <c r="A373" s="190">
        <f t="shared" si="26"/>
        <v>161</v>
      </c>
      <c r="B373" s="212" t="s">
        <v>822</v>
      </c>
      <c r="C373" s="213" t="s">
        <v>99</v>
      </c>
      <c r="D373" s="214" t="s">
        <v>603</v>
      </c>
      <c r="E373" s="215" t="s">
        <v>403</v>
      </c>
      <c r="F373" s="6">
        <f>1.1*F372</f>
        <v>87.89000000000001</v>
      </c>
      <c r="G373" s="291"/>
      <c r="H373" s="217">
        <f t="shared" si="25"/>
        <v>0</v>
      </c>
      <c r="I373" s="135" t="s">
        <v>101</v>
      </c>
      <c r="J373" s="307"/>
      <c r="K373" s="230" t="s">
        <v>604</v>
      </c>
    </row>
    <row r="374" spans="1:10" ht="12.75">
      <c r="A374" s="180">
        <f t="shared" si="26"/>
        <v>162</v>
      </c>
      <c r="B374" s="181" t="s">
        <v>222</v>
      </c>
      <c r="C374" s="182" t="s">
        <v>975</v>
      </c>
      <c r="D374" s="183" t="s">
        <v>370</v>
      </c>
      <c r="E374" s="184" t="s">
        <v>403</v>
      </c>
      <c r="F374" s="3">
        <v>0.6</v>
      </c>
      <c r="G374" s="285"/>
      <c r="H374" s="186">
        <f t="shared" si="25"/>
        <v>0</v>
      </c>
      <c r="I374" s="90" t="s">
        <v>101</v>
      </c>
      <c r="J374" s="300"/>
    </row>
    <row r="375" spans="1:11" ht="16.5">
      <c r="A375" s="180">
        <f t="shared" si="26"/>
        <v>163</v>
      </c>
      <c r="B375" s="187" t="s">
        <v>823</v>
      </c>
      <c r="C375" s="218" t="s">
        <v>974</v>
      </c>
      <c r="D375" s="219" t="s">
        <v>223</v>
      </c>
      <c r="E375" s="220" t="s">
        <v>403</v>
      </c>
      <c r="F375" s="4">
        <f>+F374</f>
        <v>0.6</v>
      </c>
      <c r="G375" s="291"/>
      <c r="H375" s="221">
        <f t="shared" si="25"/>
        <v>0</v>
      </c>
      <c r="I375" s="135" t="s">
        <v>101</v>
      </c>
      <c r="J375" s="300"/>
      <c r="K375" s="230" t="s">
        <v>224</v>
      </c>
    </row>
    <row r="376" spans="1:9" ht="13.5" thickBot="1">
      <c r="A376" s="180">
        <f t="shared" si="26"/>
        <v>164</v>
      </c>
      <c r="B376" s="187" t="s">
        <v>753</v>
      </c>
      <c r="C376" s="182"/>
      <c r="D376" s="183" t="s">
        <v>17</v>
      </c>
      <c r="E376" s="233" t="s">
        <v>408</v>
      </c>
      <c r="F376" s="3">
        <f>+H364+H365+H367+H368+H371+H373+H375</f>
        <v>0</v>
      </c>
      <c r="G376" s="289"/>
      <c r="H376" s="234">
        <f t="shared" si="25"/>
        <v>0</v>
      </c>
      <c r="I376" s="90" t="s">
        <v>101</v>
      </c>
    </row>
    <row r="377" spans="3:8" ht="13.5" thickBot="1">
      <c r="C377" s="182"/>
      <c r="D377" s="162" t="s">
        <v>401</v>
      </c>
      <c r="E377" s="163"/>
      <c r="F377" s="223"/>
      <c r="G377" s="224"/>
      <c r="H377" s="203">
        <f>SUM(H361:H376)</f>
        <v>0</v>
      </c>
    </row>
    <row r="378" spans="1:9" ht="12.75">
      <c r="A378" s="180"/>
      <c r="B378" s="181"/>
      <c r="C378" s="182"/>
      <c r="D378" s="204"/>
      <c r="E378" s="168"/>
      <c r="F378" s="64"/>
      <c r="G378" s="107"/>
      <c r="H378" s="205"/>
      <c r="I378" s="90"/>
    </row>
    <row r="379" spans="1:9" ht="16.5">
      <c r="A379" s="180"/>
      <c r="B379" s="181"/>
      <c r="C379" s="207" t="s">
        <v>282</v>
      </c>
      <c r="D379" s="142" t="s">
        <v>283</v>
      </c>
      <c r="E379" s="142"/>
      <c r="F379" s="206"/>
      <c r="G379" s="142"/>
      <c r="H379" s="142"/>
      <c r="I379" s="90"/>
    </row>
    <row r="380" spans="1:18" ht="12.75">
      <c r="A380" s="180">
        <f>A376+1</f>
        <v>165</v>
      </c>
      <c r="B380" s="181" t="s">
        <v>313</v>
      </c>
      <c r="C380" s="182"/>
      <c r="D380" s="183" t="s">
        <v>144</v>
      </c>
      <c r="E380" s="184" t="s">
        <v>402</v>
      </c>
      <c r="F380" s="3">
        <v>1</v>
      </c>
      <c r="G380" s="285"/>
      <c r="H380" s="186">
        <f aca="true" t="shared" si="27" ref="H380:H395">F380*G380</f>
        <v>0</v>
      </c>
      <c r="I380" s="90" t="s">
        <v>101</v>
      </c>
      <c r="N380" s="74"/>
      <c r="Q380" s="191">
        <v>0.00156</v>
      </c>
      <c r="R380" s="99"/>
    </row>
    <row r="381" spans="1:18" ht="12.75">
      <c r="A381" s="180">
        <f>A380+1</f>
        <v>166</v>
      </c>
      <c r="B381" s="187" t="s">
        <v>314</v>
      </c>
      <c r="C381" s="182"/>
      <c r="D381" s="183" t="s">
        <v>44</v>
      </c>
      <c r="E381" s="184" t="s">
        <v>402</v>
      </c>
      <c r="F381" s="3">
        <v>2</v>
      </c>
      <c r="G381" s="285"/>
      <c r="H381" s="186">
        <f t="shared" si="27"/>
        <v>0</v>
      </c>
      <c r="I381" s="90" t="s">
        <v>101</v>
      </c>
      <c r="N381" s="74"/>
      <c r="Q381" s="191">
        <f>0.0031*F381</f>
        <v>0.0062</v>
      </c>
      <c r="R381" s="99"/>
    </row>
    <row r="382" spans="1:18" ht="12.75">
      <c r="A382" s="180">
        <f>A381+1</f>
        <v>167</v>
      </c>
      <c r="B382" s="187" t="s">
        <v>705</v>
      </c>
      <c r="C382" s="182"/>
      <c r="D382" s="183" t="s">
        <v>707</v>
      </c>
      <c r="E382" s="184" t="s">
        <v>399</v>
      </c>
      <c r="F382" s="3">
        <v>1</v>
      </c>
      <c r="G382" s="285"/>
      <c r="H382" s="186">
        <f t="shared" si="27"/>
        <v>0</v>
      </c>
      <c r="I382" s="90" t="s">
        <v>101</v>
      </c>
      <c r="N382" s="74"/>
      <c r="Q382" s="191">
        <f>0.002*F382</f>
        <v>0.002</v>
      </c>
      <c r="R382" s="99" t="s">
        <v>404</v>
      </c>
    </row>
    <row r="383" spans="1:18" ht="12.75">
      <c r="A383" s="180"/>
      <c r="B383" s="187" t="s">
        <v>708</v>
      </c>
      <c r="C383" s="182"/>
      <c r="D383" s="183" t="s">
        <v>709</v>
      </c>
      <c r="E383" s="184" t="s">
        <v>402</v>
      </c>
      <c r="F383" s="3">
        <v>3</v>
      </c>
      <c r="G383" s="285"/>
      <c r="H383" s="186">
        <f t="shared" si="27"/>
        <v>0</v>
      </c>
      <c r="I383" s="90" t="s">
        <v>101</v>
      </c>
      <c r="N383" s="74"/>
      <c r="Q383" s="191"/>
      <c r="R383" s="99"/>
    </row>
    <row r="384" spans="1:18" ht="12.75">
      <c r="A384" s="180">
        <f>A382+1</f>
        <v>168</v>
      </c>
      <c r="B384" s="187" t="s">
        <v>284</v>
      </c>
      <c r="C384" s="182"/>
      <c r="D384" s="183" t="s">
        <v>143</v>
      </c>
      <c r="E384" s="184" t="s">
        <v>399</v>
      </c>
      <c r="F384" s="3">
        <v>1</v>
      </c>
      <c r="G384" s="285"/>
      <c r="H384" s="186">
        <f t="shared" si="27"/>
        <v>0</v>
      </c>
      <c r="I384" s="90" t="s">
        <v>101</v>
      </c>
      <c r="N384" s="74"/>
      <c r="Q384" s="191">
        <v>0.01933</v>
      </c>
      <c r="R384" s="99"/>
    </row>
    <row r="385" spans="1:18" ht="12.75">
      <c r="A385" s="180">
        <f aca="true" t="shared" si="28" ref="A385:A395">A384+1</f>
        <v>169</v>
      </c>
      <c r="B385" s="181" t="s">
        <v>285</v>
      </c>
      <c r="C385" s="182"/>
      <c r="D385" s="183" t="s">
        <v>286</v>
      </c>
      <c r="E385" s="184" t="s">
        <v>399</v>
      </c>
      <c r="F385" s="3">
        <v>1</v>
      </c>
      <c r="G385" s="285"/>
      <c r="H385" s="186">
        <f t="shared" si="27"/>
        <v>0</v>
      </c>
      <c r="I385" s="90" t="s">
        <v>101</v>
      </c>
      <c r="N385" s="74"/>
      <c r="Q385" s="191">
        <v>0.03187</v>
      </c>
      <c r="R385" s="99"/>
    </row>
    <row r="386" spans="1:18" ht="12.75">
      <c r="A386" s="180">
        <f t="shared" si="28"/>
        <v>170</v>
      </c>
      <c r="B386" s="187" t="s">
        <v>619</v>
      </c>
      <c r="C386" s="182"/>
      <c r="D386" s="183" t="s">
        <v>620</v>
      </c>
      <c r="E386" s="184" t="s">
        <v>399</v>
      </c>
      <c r="F386" s="3">
        <v>1</v>
      </c>
      <c r="G386" s="285"/>
      <c r="H386" s="186">
        <f t="shared" si="27"/>
        <v>0</v>
      </c>
      <c r="I386" s="90" t="s">
        <v>101</v>
      </c>
      <c r="N386" s="74"/>
      <c r="Q386" s="191">
        <v>0.0329</v>
      </c>
      <c r="R386" s="99"/>
    </row>
    <row r="387" spans="1:18" ht="12.75">
      <c r="A387" s="180">
        <f t="shared" si="28"/>
        <v>171</v>
      </c>
      <c r="B387" s="181" t="s">
        <v>287</v>
      </c>
      <c r="C387" s="182"/>
      <c r="D387" s="183" t="s">
        <v>142</v>
      </c>
      <c r="E387" s="184" t="s">
        <v>402</v>
      </c>
      <c r="F387" s="3">
        <v>2</v>
      </c>
      <c r="G387" s="285"/>
      <c r="H387" s="186">
        <f t="shared" si="27"/>
        <v>0</v>
      </c>
      <c r="I387" s="90" t="s">
        <v>101</v>
      </c>
      <c r="N387" s="74"/>
      <c r="Q387" s="191"/>
      <c r="R387" s="99"/>
    </row>
    <row r="388" spans="1:18" ht="12.75">
      <c r="A388" s="180">
        <f t="shared" si="28"/>
        <v>172</v>
      </c>
      <c r="B388" s="187" t="s">
        <v>621</v>
      </c>
      <c r="C388" s="182"/>
      <c r="D388" s="183" t="s">
        <v>618</v>
      </c>
      <c r="E388" s="184" t="s">
        <v>399</v>
      </c>
      <c r="F388" s="3">
        <v>1</v>
      </c>
      <c r="G388" s="285"/>
      <c r="H388" s="186">
        <f t="shared" si="27"/>
        <v>0</v>
      </c>
      <c r="I388" s="90" t="s">
        <v>101</v>
      </c>
      <c r="N388" s="74"/>
      <c r="Q388" s="191">
        <v>0.008</v>
      </c>
      <c r="R388" s="99"/>
    </row>
    <row r="389" spans="1:18" ht="12.75">
      <c r="A389" s="180">
        <f t="shared" si="28"/>
        <v>173</v>
      </c>
      <c r="B389" s="181" t="s">
        <v>745</v>
      </c>
      <c r="C389" s="182"/>
      <c r="D389" s="183" t="s">
        <v>747</v>
      </c>
      <c r="E389" s="184" t="s">
        <v>404</v>
      </c>
      <c r="F389" s="3">
        <f>Q389</f>
        <v>0.10186</v>
      </c>
      <c r="G389" s="285"/>
      <c r="H389" s="186">
        <f>F389*G389</f>
        <v>0</v>
      </c>
      <c r="I389" s="90" t="s">
        <v>101</v>
      </c>
      <c r="N389" s="74"/>
      <c r="Q389" s="191">
        <f>SUM(Q380:Q388)</f>
        <v>0.10186</v>
      </c>
      <c r="R389" s="99"/>
    </row>
    <row r="390" spans="1:18" ht="12.75">
      <c r="A390" s="180">
        <f t="shared" si="28"/>
        <v>174</v>
      </c>
      <c r="B390" s="181" t="s">
        <v>154</v>
      </c>
      <c r="C390" s="182"/>
      <c r="D390" s="183" t="s">
        <v>288</v>
      </c>
      <c r="E390" s="184" t="s">
        <v>404</v>
      </c>
      <c r="F390" s="3">
        <f>F389</f>
        <v>0.10186</v>
      </c>
      <c r="G390" s="285"/>
      <c r="H390" s="186">
        <f t="shared" si="27"/>
        <v>0</v>
      </c>
      <c r="I390" s="90" t="s">
        <v>101</v>
      </c>
      <c r="N390" s="74"/>
      <c r="Q390" s="191"/>
      <c r="R390" s="99"/>
    </row>
    <row r="391" spans="1:18" ht="12.75">
      <c r="A391" s="180">
        <f t="shared" si="28"/>
        <v>175</v>
      </c>
      <c r="B391" s="181" t="s">
        <v>743</v>
      </c>
      <c r="C391" s="182"/>
      <c r="D391" s="183" t="s">
        <v>744</v>
      </c>
      <c r="E391" s="184" t="s">
        <v>404</v>
      </c>
      <c r="F391" s="3">
        <f>+F390*2</f>
        <v>0.20372</v>
      </c>
      <c r="G391" s="285"/>
      <c r="H391" s="186">
        <f t="shared" si="27"/>
        <v>0</v>
      </c>
      <c r="I391" s="90" t="s">
        <v>101</v>
      </c>
      <c r="N391" s="74"/>
      <c r="Q391" s="191"/>
      <c r="R391" s="99"/>
    </row>
    <row r="392" spans="1:18" ht="12.75">
      <c r="A392" s="180">
        <f t="shared" si="28"/>
        <v>176</v>
      </c>
      <c r="B392" s="181" t="s">
        <v>155</v>
      </c>
      <c r="C392" s="182"/>
      <c r="D392" s="183" t="s">
        <v>156</v>
      </c>
      <c r="E392" s="184" t="s">
        <v>404</v>
      </c>
      <c r="F392" s="3">
        <f>+F389</f>
        <v>0.10186</v>
      </c>
      <c r="G392" s="286"/>
      <c r="H392" s="186">
        <f t="shared" si="27"/>
        <v>0</v>
      </c>
      <c r="I392" s="90" t="s">
        <v>101</v>
      </c>
      <c r="N392" s="74"/>
      <c r="Q392" s="191"/>
      <c r="R392" s="99"/>
    </row>
    <row r="393" spans="1:18" ht="12.75">
      <c r="A393" s="180">
        <f t="shared" si="28"/>
        <v>177</v>
      </c>
      <c r="B393" s="181" t="s">
        <v>157</v>
      </c>
      <c r="C393" s="182"/>
      <c r="D393" s="183" t="s">
        <v>158</v>
      </c>
      <c r="E393" s="184" t="s">
        <v>404</v>
      </c>
      <c r="F393" s="3">
        <f>+F389</f>
        <v>0.10186</v>
      </c>
      <c r="G393" s="285"/>
      <c r="H393" s="186">
        <f t="shared" si="27"/>
        <v>0</v>
      </c>
      <c r="I393" s="90" t="s">
        <v>101</v>
      </c>
      <c r="N393" s="74"/>
      <c r="Q393" s="191"/>
      <c r="R393" s="99"/>
    </row>
    <row r="394" spans="1:18" ht="12.75">
      <c r="A394" s="180">
        <f t="shared" si="28"/>
        <v>178</v>
      </c>
      <c r="B394" s="181" t="s">
        <v>750</v>
      </c>
      <c r="C394" s="182"/>
      <c r="D394" s="183" t="s">
        <v>751</v>
      </c>
      <c r="E394" s="184" t="s">
        <v>404</v>
      </c>
      <c r="F394" s="3">
        <f>+F389</f>
        <v>0.10186</v>
      </c>
      <c r="G394" s="285"/>
      <c r="H394" s="186">
        <f t="shared" si="27"/>
        <v>0</v>
      </c>
      <c r="I394" s="90" t="s">
        <v>101</v>
      </c>
      <c r="N394" s="74"/>
      <c r="Q394" s="191"/>
      <c r="R394" s="99"/>
    </row>
    <row r="395" spans="1:18" ht="13.5" thickBot="1">
      <c r="A395" s="180">
        <f t="shared" si="28"/>
        <v>179</v>
      </c>
      <c r="B395" s="187" t="s">
        <v>748</v>
      </c>
      <c r="C395" s="182"/>
      <c r="D395" s="183" t="s">
        <v>749</v>
      </c>
      <c r="E395" s="184" t="s">
        <v>404</v>
      </c>
      <c r="F395" s="3">
        <f>+F389</f>
        <v>0.10186</v>
      </c>
      <c r="G395" s="285"/>
      <c r="H395" s="186">
        <f t="shared" si="27"/>
        <v>0</v>
      </c>
      <c r="I395" s="90" t="s">
        <v>101</v>
      </c>
      <c r="N395" s="74"/>
      <c r="Q395" s="191"/>
      <c r="R395" s="99"/>
    </row>
    <row r="396" spans="1:18" ht="15.75" thickBot="1">
      <c r="A396" s="180"/>
      <c r="B396" s="181"/>
      <c r="C396" s="182"/>
      <c r="D396" s="246" t="s">
        <v>401</v>
      </c>
      <c r="E396" s="247"/>
      <c r="F396" s="248"/>
      <c r="G396" s="249"/>
      <c r="H396" s="250">
        <f>SUM(H380:H395)</f>
        <v>0</v>
      </c>
      <c r="I396" s="90"/>
      <c r="N396" s="74"/>
      <c r="Q396" s="191"/>
      <c r="R396" s="99"/>
    </row>
    <row r="397" spans="1:9" ht="12.75">
      <c r="A397" s="180"/>
      <c r="B397" s="181"/>
      <c r="C397" s="182"/>
      <c r="D397" s="204"/>
      <c r="E397" s="168"/>
      <c r="F397" s="64"/>
      <c r="G397" s="107"/>
      <c r="H397" s="205"/>
      <c r="I397" s="90"/>
    </row>
    <row r="398" spans="1:9" ht="16.5">
      <c r="A398" s="180"/>
      <c r="B398" s="181"/>
      <c r="C398" s="207" t="s">
        <v>289</v>
      </c>
      <c r="D398" s="142" t="s">
        <v>28</v>
      </c>
      <c r="E398" s="142"/>
      <c r="F398" s="206"/>
      <c r="G398" s="142"/>
      <c r="H398" s="142"/>
      <c r="I398" s="90"/>
    </row>
    <row r="399" spans="1:9" ht="79.5" customHeight="1">
      <c r="A399" s="180"/>
      <c r="B399" s="181"/>
      <c r="C399" s="176"/>
      <c r="D399" s="316" t="s">
        <v>379</v>
      </c>
      <c r="E399" s="316"/>
      <c r="F399" s="316"/>
      <c r="G399" s="226"/>
      <c r="H399" s="226"/>
      <c r="I399" s="90"/>
    </row>
    <row r="400" spans="1:9" ht="25.5">
      <c r="A400" s="180">
        <f>A395+1</f>
        <v>180</v>
      </c>
      <c r="B400" s="181" t="s">
        <v>348</v>
      </c>
      <c r="C400" s="182"/>
      <c r="D400" s="222" t="s">
        <v>334</v>
      </c>
      <c r="E400" s="184" t="s">
        <v>403</v>
      </c>
      <c r="F400" s="7">
        <f>8.9+0.6+2.9+3.2+0.6+1.2+0.6</f>
        <v>18.000000000000004</v>
      </c>
      <c r="G400" s="285"/>
      <c r="H400" s="186">
        <f>F400*G400</f>
        <v>0</v>
      </c>
      <c r="I400" s="90" t="s">
        <v>101</v>
      </c>
    </row>
    <row r="401" spans="1:9" ht="25.5">
      <c r="A401" s="180">
        <f>A400+1</f>
        <v>181</v>
      </c>
      <c r="B401" s="251" t="s">
        <v>349</v>
      </c>
      <c r="C401" s="182"/>
      <c r="D401" s="222" t="s">
        <v>335</v>
      </c>
      <c r="E401" s="184" t="s">
        <v>403</v>
      </c>
      <c r="F401" s="7">
        <v>1.2</v>
      </c>
      <c r="G401" s="285"/>
      <c r="H401" s="186">
        <f aca="true" t="shared" si="29" ref="H401:H413">F401*G401</f>
        <v>0</v>
      </c>
      <c r="I401" s="90" t="s">
        <v>101</v>
      </c>
    </row>
    <row r="402" spans="1:9" ht="25.5">
      <c r="A402" s="180">
        <f aca="true" t="shared" si="30" ref="A402:A413">A401+1</f>
        <v>182</v>
      </c>
      <c r="B402" s="252" t="s">
        <v>297</v>
      </c>
      <c r="C402" s="182"/>
      <c r="D402" s="253" t="s">
        <v>333</v>
      </c>
      <c r="E402" s="184" t="s">
        <v>403</v>
      </c>
      <c r="F402" s="3">
        <v>2</v>
      </c>
      <c r="G402" s="285"/>
      <c r="H402" s="186">
        <f>F402*G402</f>
        <v>0</v>
      </c>
      <c r="I402" s="90" t="s">
        <v>101</v>
      </c>
    </row>
    <row r="403" spans="1:9" ht="12.75">
      <c r="A403" s="180">
        <f t="shared" si="30"/>
        <v>183</v>
      </c>
      <c r="B403" s="181" t="s">
        <v>226</v>
      </c>
      <c r="C403" s="182"/>
      <c r="D403" s="222" t="s">
        <v>225</v>
      </c>
      <c r="E403" s="184" t="s">
        <v>402</v>
      </c>
      <c r="F403" s="7">
        <v>1</v>
      </c>
      <c r="G403" s="285"/>
      <c r="H403" s="186">
        <f>F403*G403</f>
        <v>0</v>
      </c>
      <c r="I403" s="90" t="s">
        <v>101</v>
      </c>
    </row>
    <row r="404" spans="1:9" ht="25.5">
      <c r="A404" s="180">
        <f t="shared" si="30"/>
        <v>184</v>
      </c>
      <c r="B404" s="254" t="s">
        <v>624</v>
      </c>
      <c r="C404" s="182"/>
      <c r="D404" s="222" t="s">
        <v>622</v>
      </c>
      <c r="E404" s="184" t="s">
        <v>402</v>
      </c>
      <c r="F404" s="3">
        <v>1</v>
      </c>
      <c r="G404" s="285"/>
      <c r="H404" s="186">
        <f t="shared" si="29"/>
        <v>0</v>
      </c>
      <c r="I404" s="90" t="s">
        <v>101</v>
      </c>
    </row>
    <row r="405" spans="1:9" ht="25.5">
      <c r="A405" s="180">
        <f t="shared" si="30"/>
        <v>185</v>
      </c>
      <c r="B405" s="254" t="s">
        <v>446</v>
      </c>
      <c r="C405" s="182"/>
      <c r="D405" s="222" t="s">
        <v>623</v>
      </c>
      <c r="E405" s="184" t="s">
        <v>402</v>
      </c>
      <c r="F405" s="3">
        <v>1</v>
      </c>
      <c r="G405" s="285"/>
      <c r="H405" s="186">
        <f>F405*G405</f>
        <v>0</v>
      </c>
      <c r="I405" s="90" t="s">
        <v>101</v>
      </c>
    </row>
    <row r="406" spans="1:9" ht="25.5">
      <c r="A406" s="180">
        <f t="shared" si="30"/>
        <v>186</v>
      </c>
      <c r="B406" s="181" t="s">
        <v>322</v>
      </c>
      <c r="C406" s="182"/>
      <c r="D406" s="283" t="s">
        <v>949</v>
      </c>
      <c r="E406" s="184" t="s">
        <v>402</v>
      </c>
      <c r="F406" s="3">
        <v>4</v>
      </c>
      <c r="G406" s="285"/>
      <c r="H406" s="186">
        <f t="shared" si="29"/>
        <v>0</v>
      </c>
      <c r="I406" s="90" t="s">
        <v>101</v>
      </c>
    </row>
    <row r="407" spans="1:9" ht="14.25" customHeight="1">
      <c r="A407" s="180">
        <f t="shared" si="30"/>
        <v>187</v>
      </c>
      <c r="B407" s="181" t="s">
        <v>323</v>
      </c>
      <c r="C407" s="182"/>
      <c r="D407" s="222" t="s">
        <v>324</v>
      </c>
      <c r="E407" s="184" t="s">
        <v>402</v>
      </c>
      <c r="F407" s="3">
        <v>1</v>
      </c>
      <c r="G407" s="285"/>
      <c r="H407" s="186">
        <f t="shared" si="29"/>
        <v>0</v>
      </c>
      <c r="I407" s="90" t="s">
        <v>101</v>
      </c>
    </row>
    <row r="408" spans="1:9" ht="12.75">
      <c r="A408" s="180">
        <f>A406+1</f>
        <v>187</v>
      </c>
      <c r="B408" s="181" t="s">
        <v>325</v>
      </c>
      <c r="C408" s="182"/>
      <c r="D408" s="253" t="s">
        <v>302</v>
      </c>
      <c r="E408" s="184" t="s">
        <v>402</v>
      </c>
      <c r="F408" s="3">
        <v>1</v>
      </c>
      <c r="G408" s="285"/>
      <c r="H408" s="186">
        <f>F408*G408</f>
        <v>0</v>
      </c>
      <c r="I408" s="90" t="s">
        <v>101</v>
      </c>
    </row>
    <row r="409" spans="1:9" ht="12.75">
      <c r="A409" s="180">
        <f>A407+1</f>
        <v>188</v>
      </c>
      <c r="B409" s="187" t="s">
        <v>325</v>
      </c>
      <c r="C409" s="182"/>
      <c r="D409" s="222" t="s">
        <v>625</v>
      </c>
      <c r="E409" s="184" t="s">
        <v>402</v>
      </c>
      <c r="F409" s="3">
        <v>1</v>
      </c>
      <c r="G409" s="285"/>
      <c r="H409" s="186">
        <f t="shared" si="29"/>
        <v>0</v>
      </c>
      <c r="I409" s="90" t="s">
        <v>101</v>
      </c>
    </row>
    <row r="410" spans="1:9" ht="12.75">
      <c r="A410" s="180">
        <f t="shared" si="30"/>
        <v>189</v>
      </c>
      <c r="B410" s="181" t="s">
        <v>299</v>
      </c>
      <c r="C410" s="182"/>
      <c r="D410" s="253" t="s">
        <v>298</v>
      </c>
      <c r="E410" s="184" t="s">
        <v>402</v>
      </c>
      <c r="F410" s="3">
        <v>2</v>
      </c>
      <c r="G410" s="285"/>
      <c r="H410" s="186">
        <f t="shared" si="29"/>
        <v>0</v>
      </c>
      <c r="I410" s="90" t="s">
        <v>101</v>
      </c>
    </row>
    <row r="411" spans="1:11" ht="38.25">
      <c r="A411" s="180">
        <f t="shared" si="30"/>
        <v>190</v>
      </c>
      <c r="B411" s="181" t="s">
        <v>228</v>
      </c>
      <c r="C411" s="182"/>
      <c r="D411" s="222" t="s">
        <v>626</v>
      </c>
      <c r="E411" s="184" t="s">
        <v>402</v>
      </c>
      <c r="F411" s="3">
        <v>1</v>
      </c>
      <c r="G411" s="285"/>
      <c r="H411" s="186">
        <f t="shared" si="29"/>
        <v>0</v>
      </c>
      <c r="I411" s="90" t="s">
        <v>101</v>
      </c>
      <c r="K411" s="230" t="s">
        <v>227</v>
      </c>
    </row>
    <row r="412" spans="1:9" ht="12.75">
      <c r="A412" s="180">
        <f t="shared" si="30"/>
        <v>191</v>
      </c>
      <c r="B412" s="187" t="s">
        <v>706</v>
      </c>
      <c r="C412" s="182"/>
      <c r="D412" s="253" t="s">
        <v>38</v>
      </c>
      <c r="E412" s="184" t="s">
        <v>399</v>
      </c>
      <c r="F412" s="3">
        <v>1</v>
      </c>
      <c r="G412" s="285"/>
      <c r="H412" s="186">
        <f t="shared" si="29"/>
        <v>0</v>
      </c>
      <c r="I412" s="90" t="s">
        <v>101</v>
      </c>
    </row>
    <row r="413" spans="1:9" ht="13.5" thickBot="1">
      <c r="A413" s="180">
        <f t="shared" si="30"/>
        <v>192</v>
      </c>
      <c r="B413" s="187" t="s">
        <v>753</v>
      </c>
      <c r="C413" s="182"/>
      <c r="D413" s="183" t="s">
        <v>17</v>
      </c>
      <c r="E413" s="233" t="s">
        <v>408</v>
      </c>
      <c r="F413" s="3">
        <f>SUM(H400:H411)</f>
        <v>0</v>
      </c>
      <c r="G413" s="289"/>
      <c r="H413" s="234">
        <f t="shared" si="29"/>
        <v>0</v>
      </c>
      <c r="I413" s="90" t="s">
        <v>101</v>
      </c>
    </row>
    <row r="414" spans="1:9" ht="13.5" thickBot="1">
      <c r="A414" s="180"/>
      <c r="B414" s="181"/>
      <c r="C414" s="182"/>
      <c r="D414" s="162" t="s">
        <v>401</v>
      </c>
      <c r="E414" s="163"/>
      <c r="F414" s="223"/>
      <c r="G414" s="224"/>
      <c r="H414" s="203">
        <f>SUBTOTAL(9,H400:H413)</f>
        <v>0</v>
      </c>
      <c r="I414" s="90"/>
    </row>
    <row r="415" spans="1:9" ht="12.75">
      <c r="A415" s="180"/>
      <c r="B415" s="181"/>
      <c r="C415" s="182"/>
      <c r="D415" s="204"/>
      <c r="E415" s="168"/>
      <c r="F415" s="64"/>
      <c r="G415" s="107"/>
      <c r="H415" s="205"/>
      <c r="I415" s="90"/>
    </row>
    <row r="416" spans="1:9" ht="16.5">
      <c r="A416" s="180"/>
      <c r="B416" s="181"/>
      <c r="C416" s="207" t="s">
        <v>290</v>
      </c>
      <c r="D416" s="142" t="s">
        <v>29</v>
      </c>
      <c r="E416" s="142"/>
      <c r="F416" s="206"/>
      <c r="G416" s="142"/>
      <c r="H416" s="142"/>
      <c r="I416" s="90"/>
    </row>
    <row r="417" spans="1:9" ht="77.25" customHeight="1">
      <c r="A417" s="180"/>
      <c r="B417" s="181"/>
      <c r="C417" s="176"/>
      <c r="D417" s="316" t="s">
        <v>308</v>
      </c>
      <c r="E417" s="316"/>
      <c r="F417" s="316"/>
      <c r="G417" s="226"/>
      <c r="H417" s="226"/>
      <c r="I417" s="90"/>
    </row>
    <row r="418" spans="1:9" ht="12.75">
      <c r="A418" s="190">
        <f>A413+1</f>
        <v>193</v>
      </c>
      <c r="B418" s="210" t="s">
        <v>351</v>
      </c>
      <c r="C418" s="189"/>
      <c r="D418" s="255" t="s">
        <v>318</v>
      </c>
      <c r="E418" s="184" t="s">
        <v>403</v>
      </c>
      <c r="F418" s="7">
        <f>9.5+2.4+2.1+4.95+9.2+2.4+2.4+2.2+1.77+3.6+2.1</f>
        <v>42.620000000000005</v>
      </c>
      <c r="G418" s="285"/>
      <c r="H418" s="186">
        <f>F418*G418</f>
        <v>0</v>
      </c>
      <c r="I418" s="90" t="s">
        <v>101</v>
      </c>
    </row>
    <row r="419" spans="1:9" ht="12.75">
      <c r="A419" s="190">
        <f aca="true" t="shared" si="31" ref="A419:A425">A418+1</f>
        <v>194</v>
      </c>
      <c r="B419" s="188" t="s">
        <v>447</v>
      </c>
      <c r="C419" s="189"/>
      <c r="D419" s="256" t="s">
        <v>409</v>
      </c>
      <c r="E419" s="184" t="s">
        <v>403</v>
      </c>
      <c r="F419" s="7">
        <f>2+2.4</f>
        <v>4.4</v>
      </c>
      <c r="G419" s="285"/>
      <c r="H419" s="186">
        <f>F419*G419</f>
        <v>0</v>
      </c>
      <c r="I419" s="90" t="s">
        <v>101</v>
      </c>
    </row>
    <row r="420" spans="1:9" ht="12.75">
      <c r="A420" s="190">
        <f t="shared" si="31"/>
        <v>195</v>
      </c>
      <c r="B420" s="274" t="s">
        <v>933</v>
      </c>
      <c r="C420" s="189"/>
      <c r="D420" s="253" t="s">
        <v>97</v>
      </c>
      <c r="E420" s="184" t="s">
        <v>403</v>
      </c>
      <c r="F420" s="7">
        <f>9.5+2.4+2.1+4.95</f>
        <v>18.95</v>
      </c>
      <c r="G420" s="285"/>
      <c r="H420" s="186">
        <f aca="true" t="shared" si="32" ref="H420:H431">F420*G420</f>
        <v>0</v>
      </c>
      <c r="I420" s="90" t="s">
        <v>101</v>
      </c>
    </row>
    <row r="421" spans="1:9" ht="12.75">
      <c r="A421" s="190">
        <f t="shared" si="31"/>
        <v>196</v>
      </c>
      <c r="B421" s="274" t="s">
        <v>934</v>
      </c>
      <c r="C421" s="189"/>
      <c r="D421" s="222" t="s">
        <v>627</v>
      </c>
      <c r="E421" s="184" t="s">
        <v>403</v>
      </c>
      <c r="F421" s="7">
        <f>2+2.4</f>
        <v>4.4</v>
      </c>
      <c r="G421" s="285"/>
      <c r="H421" s="186">
        <f>F421*G421</f>
        <v>0</v>
      </c>
      <c r="I421" s="90" t="s">
        <v>101</v>
      </c>
    </row>
    <row r="422" spans="1:9" ht="12.75">
      <c r="A422" s="190">
        <f t="shared" si="31"/>
        <v>197</v>
      </c>
      <c r="B422" s="274" t="s">
        <v>935</v>
      </c>
      <c r="C422" s="189"/>
      <c r="D422" s="253" t="s">
        <v>96</v>
      </c>
      <c r="E422" s="184" t="s">
        <v>403</v>
      </c>
      <c r="F422" s="7">
        <f>9.2+2.4+2.4+2.2+1.77+3.6+2.1</f>
        <v>23.67</v>
      </c>
      <c r="G422" s="285"/>
      <c r="H422" s="186">
        <f t="shared" si="32"/>
        <v>0</v>
      </c>
      <c r="I422" s="90" t="s">
        <v>101</v>
      </c>
    </row>
    <row r="423" spans="1:9" ht="12.75">
      <c r="A423" s="190">
        <f t="shared" si="31"/>
        <v>198</v>
      </c>
      <c r="B423" s="274" t="s">
        <v>940</v>
      </c>
      <c r="C423" s="189"/>
      <c r="D423" s="253" t="s">
        <v>941</v>
      </c>
      <c r="E423" s="184" t="s">
        <v>402</v>
      </c>
      <c r="F423" s="7">
        <f>+F424+F425</f>
        <v>8</v>
      </c>
      <c r="G423" s="285"/>
      <c r="H423" s="186">
        <f t="shared" si="32"/>
        <v>0</v>
      </c>
      <c r="I423" s="90" t="s">
        <v>101</v>
      </c>
    </row>
    <row r="424" spans="1:9" ht="25.5">
      <c r="A424" s="190">
        <f t="shared" si="31"/>
        <v>199</v>
      </c>
      <c r="B424" s="188" t="s">
        <v>936</v>
      </c>
      <c r="C424" s="189"/>
      <c r="D424" s="222" t="s">
        <v>138</v>
      </c>
      <c r="E424" s="184" t="s">
        <v>402</v>
      </c>
      <c r="F424" s="7">
        <v>5</v>
      </c>
      <c r="G424" s="285"/>
      <c r="H424" s="186">
        <f t="shared" si="32"/>
        <v>0</v>
      </c>
      <c r="I424" s="90" t="s">
        <v>101</v>
      </c>
    </row>
    <row r="425" spans="1:9" ht="12.75">
      <c r="A425" s="190">
        <f t="shared" si="31"/>
        <v>200</v>
      </c>
      <c r="B425" s="188" t="s">
        <v>937</v>
      </c>
      <c r="C425" s="189"/>
      <c r="D425" s="222" t="s">
        <v>137</v>
      </c>
      <c r="E425" s="184" t="s">
        <v>402</v>
      </c>
      <c r="F425" s="7">
        <v>3</v>
      </c>
      <c r="G425" s="285"/>
      <c r="H425" s="186">
        <f t="shared" si="32"/>
        <v>0</v>
      </c>
      <c r="I425" s="90" t="s">
        <v>101</v>
      </c>
    </row>
    <row r="426" spans="1:9" ht="12.75">
      <c r="A426" s="190">
        <f aca="true" t="shared" si="33" ref="A426:A431">A425+1</f>
        <v>201</v>
      </c>
      <c r="B426" s="188" t="s">
        <v>938</v>
      </c>
      <c r="C426" s="189"/>
      <c r="D426" s="222" t="s">
        <v>629</v>
      </c>
      <c r="E426" s="184" t="s">
        <v>402</v>
      </c>
      <c r="F426" s="7">
        <v>1</v>
      </c>
      <c r="G426" s="285"/>
      <c r="H426" s="186">
        <f t="shared" si="32"/>
        <v>0</v>
      </c>
      <c r="I426" s="90" t="s">
        <v>101</v>
      </c>
    </row>
    <row r="427" spans="1:9" ht="12.75">
      <c r="A427" s="190">
        <f t="shared" si="33"/>
        <v>202</v>
      </c>
      <c r="B427" s="188" t="s">
        <v>939</v>
      </c>
      <c r="C427" s="189"/>
      <c r="D427" s="222" t="s">
        <v>628</v>
      </c>
      <c r="E427" s="184" t="s">
        <v>402</v>
      </c>
      <c r="F427" s="7">
        <v>1</v>
      </c>
      <c r="G427" s="285"/>
      <c r="H427" s="186">
        <f t="shared" si="32"/>
        <v>0</v>
      </c>
      <c r="I427" s="90" t="s">
        <v>101</v>
      </c>
    </row>
    <row r="428" spans="1:9" ht="12.75">
      <c r="A428" s="190">
        <f t="shared" si="33"/>
        <v>203</v>
      </c>
      <c r="B428" s="210" t="s">
        <v>352</v>
      </c>
      <c r="C428" s="182"/>
      <c r="D428" s="222" t="s">
        <v>319</v>
      </c>
      <c r="E428" s="184" t="s">
        <v>403</v>
      </c>
      <c r="F428" s="3">
        <f>+F418</f>
        <v>42.620000000000005</v>
      </c>
      <c r="G428" s="285"/>
      <c r="H428" s="186">
        <f t="shared" si="32"/>
        <v>0</v>
      </c>
      <c r="I428" s="90" t="s">
        <v>101</v>
      </c>
    </row>
    <row r="429" spans="1:9" ht="12.75">
      <c r="A429" s="190">
        <f t="shared" si="33"/>
        <v>204</v>
      </c>
      <c r="B429" s="181" t="s">
        <v>353</v>
      </c>
      <c r="C429" s="182"/>
      <c r="D429" s="222" t="s">
        <v>354</v>
      </c>
      <c r="E429" s="184" t="s">
        <v>403</v>
      </c>
      <c r="F429" s="3">
        <f>+F428</f>
        <v>42.620000000000005</v>
      </c>
      <c r="G429" s="285"/>
      <c r="H429" s="186">
        <f t="shared" si="32"/>
        <v>0</v>
      </c>
      <c r="I429" s="90" t="s">
        <v>101</v>
      </c>
    </row>
    <row r="430" spans="1:9" ht="12.75">
      <c r="A430" s="190">
        <f t="shared" si="33"/>
        <v>205</v>
      </c>
      <c r="B430" s="187" t="s">
        <v>710</v>
      </c>
      <c r="C430" s="182"/>
      <c r="D430" s="222" t="s">
        <v>880</v>
      </c>
      <c r="E430" s="184" t="s">
        <v>402</v>
      </c>
      <c r="F430" s="3">
        <v>1</v>
      </c>
      <c r="G430" s="285"/>
      <c r="H430" s="186">
        <f>F430*G430</f>
        <v>0</v>
      </c>
      <c r="I430" s="90" t="s">
        <v>101</v>
      </c>
    </row>
    <row r="431" spans="1:9" ht="13.5" thickBot="1">
      <c r="A431" s="190">
        <f t="shared" si="33"/>
        <v>206</v>
      </c>
      <c r="B431" s="187" t="s">
        <v>753</v>
      </c>
      <c r="C431" s="182"/>
      <c r="D431" s="183" t="s">
        <v>17</v>
      </c>
      <c r="E431" s="233" t="s">
        <v>408</v>
      </c>
      <c r="F431" s="3">
        <f>SUM(H418:H427)</f>
        <v>0</v>
      </c>
      <c r="G431" s="289"/>
      <c r="H431" s="234">
        <f t="shared" si="32"/>
        <v>0</v>
      </c>
      <c r="I431" s="90" t="s">
        <v>101</v>
      </c>
    </row>
    <row r="432" spans="1:9" ht="13.5" thickBot="1">
      <c r="A432" s="180"/>
      <c r="B432" s="181"/>
      <c r="C432" s="182"/>
      <c r="D432" s="162" t="s">
        <v>401</v>
      </c>
      <c r="E432" s="163"/>
      <c r="F432" s="223"/>
      <c r="G432" s="224"/>
      <c r="H432" s="203">
        <f>SUBTOTAL(9,H418:H431)</f>
        <v>0</v>
      </c>
      <c r="I432" s="90"/>
    </row>
    <row r="433" spans="1:9" ht="12.75">
      <c r="A433" s="180"/>
      <c r="B433" s="181"/>
      <c r="C433" s="182"/>
      <c r="D433" s="204"/>
      <c r="E433" s="168"/>
      <c r="F433" s="64"/>
      <c r="G433" s="107"/>
      <c r="H433" s="205"/>
      <c r="I433" s="90"/>
    </row>
    <row r="434" spans="1:9" ht="12.75">
      <c r="A434" s="180"/>
      <c r="B434" s="181"/>
      <c r="C434" s="182"/>
      <c r="D434" s="204"/>
      <c r="E434" s="168"/>
      <c r="F434" s="64"/>
      <c r="G434" s="107"/>
      <c r="H434" s="205"/>
      <c r="I434" s="90"/>
    </row>
    <row r="435" spans="1:9" ht="16.5">
      <c r="A435" s="180"/>
      <c r="B435" s="181"/>
      <c r="C435" s="207" t="s">
        <v>291</v>
      </c>
      <c r="D435" s="142" t="s">
        <v>30</v>
      </c>
      <c r="E435" s="142"/>
      <c r="F435" s="206"/>
      <c r="G435" s="142"/>
      <c r="H435" s="142"/>
      <c r="I435" s="90"/>
    </row>
    <row r="436" spans="1:18" ht="86.25" customHeight="1">
      <c r="A436" s="180"/>
      <c r="B436" s="181"/>
      <c r="C436" s="176"/>
      <c r="D436" s="316" t="s">
        <v>307</v>
      </c>
      <c r="E436" s="316"/>
      <c r="F436" s="316"/>
      <c r="G436" s="226"/>
      <c r="H436" s="226"/>
      <c r="I436" s="90"/>
      <c r="Q436" s="198"/>
      <c r="R436" s="45"/>
    </row>
    <row r="437" spans="1:11" ht="13.5" customHeight="1">
      <c r="A437" s="180">
        <f>A431+1</f>
        <v>207</v>
      </c>
      <c r="B437" s="181" t="s">
        <v>356</v>
      </c>
      <c r="C437" s="182" t="s">
        <v>3</v>
      </c>
      <c r="D437" s="183" t="s">
        <v>355</v>
      </c>
      <c r="E437" s="184" t="s">
        <v>402</v>
      </c>
      <c r="F437" s="3">
        <v>2</v>
      </c>
      <c r="G437" s="285"/>
      <c r="H437" s="186">
        <f>F437*G437</f>
        <v>0</v>
      </c>
      <c r="I437" s="90" t="s">
        <v>101</v>
      </c>
      <c r="K437" s="227"/>
    </row>
    <row r="438" spans="1:11" ht="38.25">
      <c r="A438" s="180">
        <f>A437+1</f>
        <v>208</v>
      </c>
      <c r="B438" s="187" t="s">
        <v>824</v>
      </c>
      <c r="C438" s="218" t="s">
        <v>2</v>
      </c>
      <c r="D438" s="219" t="s">
        <v>229</v>
      </c>
      <c r="E438" s="220" t="s">
        <v>402</v>
      </c>
      <c r="F438" s="216">
        <v>2</v>
      </c>
      <c r="G438" s="287"/>
      <c r="H438" s="221">
        <f aca="true" t="shared" si="34" ref="H438:H465">F438*G438</f>
        <v>0</v>
      </c>
      <c r="I438" s="90" t="s">
        <v>101</v>
      </c>
      <c r="K438" s="230" t="s">
        <v>231</v>
      </c>
    </row>
    <row r="439" spans="1:9" ht="12.75">
      <c r="A439" s="180">
        <f>A438+1</f>
        <v>209</v>
      </c>
      <c r="B439" s="181" t="s">
        <v>320</v>
      </c>
      <c r="C439" s="182" t="s">
        <v>3</v>
      </c>
      <c r="D439" s="183" t="s">
        <v>270</v>
      </c>
      <c r="E439" s="184" t="s">
        <v>402</v>
      </c>
      <c r="F439" s="3">
        <v>2</v>
      </c>
      <c r="G439" s="285"/>
      <c r="H439" s="186">
        <f t="shared" si="34"/>
        <v>0</v>
      </c>
      <c r="I439" s="90" t="s">
        <v>101</v>
      </c>
    </row>
    <row r="440" spans="1:9" ht="12.75">
      <c r="A440" s="180">
        <f>A439+1</f>
        <v>210</v>
      </c>
      <c r="B440" s="187" t="s">
        <v>825</v>
      </c>
      <c r="C440" s="218" t="s">
        <v>2</v>
      </c>
      <c r="D440" s="219" t="s">
        <v>357</v>
      </c>
      <c r="E440" s="220" t="s">
        <v>402</v>
      </c>
      <c r="F440" s="4">
        <f>+F438</f>
        <v>2</v>
      </c>
      <c r="G440" s="287"/>
      <c r="H440" s="221">
        <f t="shared" si="34"/>
        <v>0</v>
      </c>
      <c r="I440" s="90" t="s">
        <v>101</v>
      </c>
    </row>
    <row r="441" spans="1:9" ht="12.75">
      <c r="A441" s="180">
        <f aca="true" t="shared" si="35" ref="A441:A465">A440+1</f>
        <v>211</v>
      </c>
      <c r="B441" s="187" t="s">
        <v>828</v>
      </c>
      <c r="C441" s="218" t="s">
        <v>2</v>
      </c>
      <c r="D441" s="219" t="s">
        <v>230</v>
      </c>
      <c r="E441" s="220" t="s">
        <v>402</v>
      </c>
      <c r="F441" s="4">
        <v>1</v>
      </c>
      <c r="G441" s="287"/>
      <c r="H441" s="221">
        <f t="shared" si="34"/>
        <v>0</v>
      </c>
      <c r="I441" s="90" t="s">
        <v>101</v>
      </c>
    </row>
    <row r="442" spans="1:9" ht="12.75">
      <c r="A442" s="180">
        <f t="shared" si="35"/>
        <v>212</v>
      </c>
      <c r="B442" s="181" t="s">
        <v>359</v>
      </c>
      <c r="C442" s="182" t="s">
        <v>3</v>
      </c>
      <c r="D442" s="183" t="s">
        <v>321</v>
      </c>
      <c r="E442" s="184" t="s">
        <v>402</v>
      </c>
      <c r="F442" s="3">
        <v>3</v>
      </c>
      <c r="G442" s="285"/>
      <c r="H442" s="186">
        <f t="shared" si="34"/>
        <v>0</v>
      </c>
      <c r="I442" s="90" t="s">
        <v>101</v>
      </c>
    </row>
    <row r="443" spans="1:9" ht="25.5">
      <c r="A443" s="180">
        <f t="shared" si="35"/>
        <v>213</v>
      </c>
      <c r="B443" s="187" t="s">
        <v>830</v>
      </c>
      <c r="C443" s="218" t="s">
        <v>2</v>
      </c>
      <c r="D443" s="219" t="s">
        <v>358</v>
      </c>
      <c r="E443" s="220" t="s">
        <v>402</v>
      </c>
      <c r="F443" s="216">
        <v>3</v>
      </c>
      <c r="G443" s="287"/>
      <c r="H443" s="221">
        <f t="shared" si="34"/>
        <v>0</v>
      </c>
      <c r="I443" s="90" t="s">
        <v>101</v>
      </c>
    </row>
    <row r="444" spans="1:9" ht="25.5">
      <c r="A444" s="180">
        <f t="shared" si="35"/>
        <v>214</v>
      </c>
      <c r="B444" s="181" t="s">
        <v>360</v>
      </c>
      <c r="C444" s="218"/>
      <c r="D444" s="183" t="s">
        <v>326</v>
      </c>
      <c r="E444" s="184" t="s">
        <v>402</v>
      </c>
      <c r="F444" s="3">
        <v>1</v>
      </c>
      <c r="G444" s="285"/>
      <c r="H444" s="186">
        <f t="shared" si="34"/>
        <v>0</v>
      </c>
      <c r="I444" s="90" t="s">
        <v>101</v>
      </c>
    </row>
    <row r="445" spans="1:11" ht="25.5">
      <c r="A445" s="180">
        <f t="shared" si="35"/>
        <v>215</v>
      </c>
      <c r="B445" s="187" t="s">
        <v>832</v>
      </c>
      <c r="C445" s="218" t="s">
        <v>2</v>
      </c>
      <c r="D445" s="219" t="s">
        <v>976</v>
      </c>
      <c r="E445" s="220" t="s">
        <v>402</v>
      </c>
      <c r="F445" s="216">
        <v>1</v>
      </c>
      <c r="G445" s="287"/>
      <c r="H445" s="221">
        <f t="shared" si="34"/>
        <v>0</v>
      </c>
      <c r="I445" s="90" t="s">
        <v>101</v>
      </c>
      <c r="K445" s="230" t="s">
        <v>630</v>
      </c>
    </row>
    <row r="446" spans="1:9" ht="38.25">
      <c r="A446" s="180">
        <f t="shared" si="35"/>
        <v>216</v>
      </c>
      <c r="B446" s="187" t="s">
        <v>827</v>
      </c>
      <c r="C446" s="218" t="s">
        <v>2</v>
      </c>
      <c r="D446" s="219" t="s">
        <v>361</v>
      </c>
      <c r="E446" s="220" t="s">
        <v>402</v>
      </c>
      <c r="F446" s="4">
        <v>1</v>
      </c>
      <c r="G446" s="287"/>
      <c r="H446" s="221">
        <f t="shared" si="34"/>
        <v>0</v>
      </c>
      <c r="I446" s="90" t="s">
        <v>101</v>
      </c>
    </row>
    <row r="447" spans="1:11" ht="25.5">
      <c r="A447" s="180">
        <f t="shared" si="35"/>
        <v>217</v>
      </c>
      <c r="B447" s="187" t="s">
        <v>833</v>
      </c>
      <c r="C447" s="218" t="s">
        <v>2</v>
      </c>
      <c r="D447" s="214" t="s">
        <v>977</v>
      </c>
      <c r="E447" s="215" t="s">
        <v>402</v>
      </c>
      <c r="F447" s="216">
        <v>1</v>
      </c>
      <c r="G447" s="287"/>
      <c r="H447" s="217">
        <f>F447*G447</f>
        <v>0</v>
      </c>
      <c r="I447" s="90" t="s">
        <v>101</v>
      </c>
      <c r="K447" s="230" t="s">
        <v>233</v>
      </c>
    </row>
    <row r="448" spans="1:11" ht="25.5">
      <c r="A448" s="180">
        <f t="shared" si="35"/>
        <v>218</v>
      </c>
      <c r="B448" s="188" t="s">
        <v>631</v>
      </c>
      <c r="C448" s="257" t="s">
        <v>3</v>
      </c>
      <c r="D448" s="152" t="s">
        <v>632</v>
      </c>
      <c r="E448" s="153" t="s">
        <v>402</v>
      </c>
      <c r="F448" s="7">
        <v>1</v>
      </c>
      <c r="G448" s="285"/>
      <c r="H448" s="155">
        <f>F448*G448</f>
        <v>0</v>
      </c>
      <c r="I448" s="36" t="s">
        <v>101</v>
      </c>
      <c r="K448" s="230"/>
    </row>
    <row r="449" spans="1:11" ht="25.5">
      <c r="A449" s="180">
        <f t="shared" si="35"/>
        <v>219</v>
      </c>
      <c r="B449" s="193" t="s">
        <v>834</v>
      </c>
      <c r="C449" s="258" t="s">
        <v>2</v>
      </c>
      <c r="D449" s="214" t="s">
        <v>633</v>
      </c>
      <c r="E449" s="215" t="s">
        <v>402</v>
      </c>
      <c r="F449" s="216">
        <v>1</v>
      </c>
      <c r="G449" s="287"/>
      <c r="H449" s="217">
        <f>F449*G449</f>
        <v>0</v>
      </c>
      <c r="I449" s="36" t="s">
        <v>101</v>
      </c>
      <c r="K449" s="230" t="s">
        <v>635</v>
      </c>
    </row>
    <row r="450" spans="1:11" ht="51">
      <c r="A450" s="180">
        <f t="shared" si="35"/>
        <v>220</v>
      </c>
      <c r="B450" s="187" t="s">
        <v>826</v>
      </c>
      <c r="C450" s="258" t="s">
        <v>2</v>
      </c>
      <c r="D450" s="214" t="s">
        <v>634</v>
      </c>
      <c r="E450" s="215" t="s">
        <v>402</v>
      </c>
      <c r="F450" s="216">
        <v>1</v>
      </c>
      <c r="G450" s="287"/>
      <c r="H450" s="217">
        <f>F450*G450</f>
        <v>0</v>
      </c>
      <c r="I450" s="36" t="s">
        <v>101</v>
      </c>
      <c r="K450" s="230"/>
    </row>
    <row r="451" spans="1:9" ht="12.75">
      <c r="A451" s="180">
        <f t="shared" si="35"/>
        <v>221</v>
      </c>
      <c r="B451" s="181" t="s">
        <v>363</v>
      </c>
      <c r="C451" s="182" t="s">
        <v>3</v>
      </c>
      <c r="D451" s="183" t="s">
        <v>362</v>
      </c>
      <c r="E451" s="184" t="s">
        <v>402</v>
      </c>
      <c r="F451" s="3">
        <v>2</v>
      </c>
      <c r="G451" s="285"/>
      <c r="H451" s="186">
        <f t="shared" si="34"/>
        <v>0</v>
      </c>
      <c r="I451" s="197" t="s">
        <v>101</v>
      </c>
    </row>
    <row r="452" spans="1:9" ht="12.75">
      <c r="A452" s="180">
        <f t="shared" si="35"/>
        <v>222</v>
      </c>
      <c r="B452" s="181" t="s">
        <v>328</v>
      </c>
      <c r="C452" s="182" t="s">
        <v>3</v>
      </c>
      <c r="D452" s="183" t="s">
        <v>327</v>
      </c>
      <c r="E452" s="184" t="s">
        <v>402</v>
      </c>
      <c r="F452" s="3">
        <v>2</v>
      </c>
      <c r="G452" s="285"/>
      <c r="H452" s="186">
        <f t="shared" si="34"/>
        <v>0</v>
      </c>
      <c r="I452" s="197" t="s">
        <v>101</v>
      </c>
    </row>
    <row r="453" spans="1:9" ht="25.5">
      <c r="A453" s="180">
        <f t="shared" si="35"/>
        <v>223</v>
      </c>
      <c r="B453" s="187" t="s">
        <v>831</v>
      </c>
      <c r="C453" s="218"/>
      <c r="D453" s="219" t="s">
        <v>383</v>
      </c>
      <c r="E453" s="220" t="s">
        <v>402</v>
      </c>
      <c r="F453" s="216">
        <v>2</v>
      </c>
      <c r="G453" s="287"/>
      <c r="H453" s="221">
        <f t="shared" si="34"/>
        <v>0</v>
      </c>
      <c r="I453" s="90" t="s">
        <v>101</v>
      </c>
    </row>
    <row r="454" spans="1:9" ht="12.75">
      <c r="A454" s="180">
        <f t="shared" si="35"/>
        <v>224</v>
      </c>
      <c r="B454" s="181" t="s">
        <v>364</v>
      </c>
      <c r="C454" s="182" t="s">
        <v>3</v>
      </c>
      <c r="D454" s="183" t="s">
        <v>365</v>
      </c>
      <c r="E454" s="184" t="s">
        <v>402</v>
      </c>
      <c r="F454" s="3">
        <v>1</v>
      </c>
      <c r="G454" s="285"/>
      <c r="H454" s="186">
        <f t="shared" si="34"/>
        <v>0</v>
      </c>
      <c r="I454" s="90" t="s">
        <v>101</v>
      </c>
    </row>
    <row r="455" spans="1:9" ht="25.5">
      <c r="A455" s="180">
        <f t="shared" si="35"/>
        <v>225</v>
      </c>
      <c r="B455" s="187" t="s">
        <v>835</v>
      </c>
      <c r="C455" s="218" t="s">
        <v>2</v>
      </c>
      <c r="D455" s="219" t="s">
        <v>384</v>
      </c>
      <c r="E455" s="220" t="s">
        <v>402</v>
      </c>
      <c r="F455" s="216">
        <v>1</v>
      </c>
      <c r="G455" s="287"/>
      <c r="H455" s="221">
        <f t="shared" si="34"/>
        <v>0</v>
      </c>
      <c r="I455" s="90" t="s">
        <v>101</v>
      </c>
    </row>
    <row r="456" spans="1:11" ht="12.75">
      <c r="A456" s="180">
        <f t="shared" si="35"/>
        <v>226</v>
      </c>
      <c r="B456" s="181" t="s">
        <v>303</v>
      </c>
      <c r="C456" s="182" t="s">
        <v>3</v>
      </c>
      <c r="D456" s="183" t="s">
        <v>304</v>
      </c>
      <c r="E456" s="184" t="s">
        <v>402</v>
      </c>
      <c r="F456" s="3">
        <v>1</v>
      </c>
      <c r="G456" s="285"/>
      <c r="H456" s="186">
        <f t="shared" si="34"/>
        <v>0</v>
      </c>
      <c r="I456" s="90" t="s">
        <v>101</v>
      </c>
      <c r="K456" s="227"/>
    </row>
    <row r="457" spans="1:9" ht="25.5">
      <c r="A457" s="180">
        <f t="shared" si="35"/>
        <v>227</v>
      </c>
      <c r="B457" s="187" t="s">
        <v>829</v>
      </c>
      <c r="C457" s="218" t="s">
        <v>2</v>
      </c>
      <c r="D457" s="219" t="s">
        <v>130</v>
      </c>
      <c r="E457" s="220" t="s">
        <v>402</v>
      </c>
      <c r="F457" s="4">
        <v>1</v>
      </c>
      <c r="G457" s="287"/>
      <c r="H457" s="221">
        <f t="shared" si="34"/>
        <v>0</v>
      </c>
      <c r="I457" s="90" t="s">
        <v>101</v>
      </c>
    </row>
    <row r="458" spans="1:11" ht="16.5">
      <c r="A458" s="180">
        <f t="shared" si="35"/>
        <v>228</v>
      </c>
      <c r="B458" s="187" t="s">
        <v>640</v>
      </c>
      <c r="C458" s="182" t="s">
        <v>3</v>
      </c>
      <c r="D458" s="183" t="s">
        <v>641</v>
      </c>
      <c r="E458" s="184" t="s">
        <v>402</v>
      </c>
      <c r="F458" s="3">
        <v>2</v>
      </c>
      <c r="G458" s="285"/>
      <c r="H458" s="186">
        <f t="shared" si="34"/>
        <v>0</v>
      </c>
      <c r="I458" s="90" t="s">
        <v>101</v>
      </c>
      <c r="K458" s="230" t="s">
        <v>636</v>
      </c>
    </row>
    <row r="459" spans="1:11" ht="25.5">
      <c r="A459" s="180">
        <f t="shared" si="35"/>
        <v>229</v>
      </c>
      <c r="B459" s="187" t="s">
        <v>836</v>
      </c>
      <c r="C459" s="218" t="s">
        <v>2</v>
      </c>
      <c r="D459" s="214" t="s">
        <v>978</v>
      </c>
      <c r="E459" s="220" t="s">
        <v>402</v>
      </c>
      <c r="F459" s="216">
        <v>2</v>
      </c>
      <c r="G459" s="287"/>
      <c r="H459" s="221">
        <f t="shared" si="34"/>
        <v>0</v>
      </c>
      <c r="I459" s="90" t="s">
        <v>101</v>
      </c>
      <c r="K459" s="230" t="s">
        <v>637</v>
      </c>
    </row>
    <row r="460" spans="1:11" ht="25.5">
      <c r="A460" s="180">
        <f t="shared" si="35"/>
        <v>230</v>
      </c>
      <c r="B460" s="187" t="s">
        <v>837</v>
      </c>
      <c r="C460" s="218"/>
      <c r="D460" s="214" t="s">
        <v>979</v>
      </c>
      <c r="E460" s="220" t="s">
        <v>402</v>
      </c>
      <c r="F460" s="216">
        <v>1</v>
      </c>
      <c r="G460" s="287"/>
      <c r="H460" s="221">
        <f>F460*G460</f>
        <v>0</v>
      </c>
      <c r="I460" s="90" t="s">
        <v>101</v>
      </c>
      <c r="K460" s="230" t="s">
        <v>639</v>
      </c>
    </row>
    <row r="461" spans="1:11" ht="16.5">
      <c r="A461" s="180">
        <f t="shared" si="35"/>
        <v>231</v>
      </c>
      <c r="B461" s="187" t="s">
        <v>643</v>
      </c>
      <c r="C461" s="189" t="s">
        <v>3</v>
      </c>
      <c r="D461" s="183" t="s">
        <v>234</v>
      </c>
      <c r="E461" s="184" t="s">
        <v>402</v>
      </c>
      <c r="F461" s="3">
        <v>2</v>
      </c>
      <c r="G461" s="285"/>
      <c r="H461" s="186">
        <f>F461*G461</f>
        <v>0</v>
      </c>
      <c r="I461" s="90" t="s">
        <v>101</v>
      </c>
      <c r="K461" s="230" t="s">
        <v>638</v>
      </c>
    </row>
    <row r="462" spans="1:11" ht="25.5">
      <c r="A462" s="180">
        <f t="shared" si="35"/>
        <v>232</v>
      </c>
      <c r="B462" s="187" t="s">
        <v>838</v>
      </c>
      <c r="C462" s="218" t="s">
        <v>2</v>
      </c>
      <c r="D462" s="219" t="s">
        <v>642</v>
      </c>
      <c r="E462" s="220" t="s">
        <v>402</v>
      </c>
      <c r="F462" s="4">
        <v>1</v>
      </c>
      <c r="G462" s="287"/>
      <c r="H462" s="221">
        <f>F462*G462</f>
        <v>0</v>
      </c>
      <c r="I462" s="90" t="s">
        <v>101</v>
      </c>
      <c r="K462" s="230" t="s">
        <v>645</v>
      </c>
    </row>
    <row r="463" spans="1:11" ht="25.5">
      <c r="A463" s="180">
        <f t="shared" si="35"/>
        <v>233</v>
      </c>
      <c r="B463" s="181" t="s">
        <v>839</v>
      </c>
      <c r="C463" s="218" t="s">
        <v>2</v>
      </c>
      <c r="D463" s="219" t="s">
        <v>45</v>
      </c>
      <c r="E463" s="220" t="s">
        <v>402</v>
      </c>
      <c r="F463" s="4">
        <v>1</v>
      </c>
      <c r="G463" s="287"/>
      <c r="H463" s="221">
        <f t="shared" si="34"/>
        <v>0</v>
      </c>
      <c r="I463" s="90" t="s">
        <v>101</v>
      </c>
      <c r="K463" s="230" t="s">
        <v>644</v>
      </c>
    </row>
    <row r="464" spans="1:9" ht="12.75">
      <c r="A464" s="180">
        <f t="shared" si="35"/>
        <v>234</v>
      </c>
      <c r="B464" s="181" t="s">
        <v>840</v>
      </c>
      <c r="C464" s="189"/>
      <c r="D464" s="183" t="s">
        <v>53</v>
      </c>
      <c r="E464" s="184" t="s">
        <v>402</v>
      </c>
      <c r="F464" s="3">
        <v>8</v>
      </c>
      <c r="G464" s="285"/>
      <c r="H464" s="186">
        <f t="shared" si="34"/>
        <v>0</v>
      </c>
      <c r="I464" s="90" t="s">
        <v>101</v>
      </c>
    </row>
    <row r="465" spans="1:9" ht="12.75" customHeight="1" thickBot="1">
      <c r="A465" s="180">
        <f t="shared" si="35"/>
        <v>235</v>
      </c>
      <c r="B465" s="187" t="s">
        <v>753</v>
      </c>
      <c r="C465" s="182"/>
      <c r="D465" s="183" t="s">
        <v>17</v>
      </c>
      <c r="E465" s="233" t="s">
        <v>408</v>
      </c>
      <c r="F465" s="3">
        <f>+H438+H440+H441+H443+H445+H446+H447+H449+H450+H453+H455+H457+H459+H460+H462+H463+H464</f>
        <v>0</v>
      </c>
      <c r="G465" s="289"/>
      <c r="H465" s="234">
        <f t="shared" si="34"/>
        <v>0</v>
      </c>
      <c r="I465" s="90" t="s">
        <v>101</v>
      </c>
    </row>
    <row r="466" spans="1:9" ht="13.5" thickBot="1">
      <c r="A466" s="180"/>
      <c r="B466" s="181"/>
      <c r="C466" s="182"/>
      <c r="D466" s="162" t="s">
        <v>401</v>
      </c>
      <c r="E466" s="163"/>
      <c r="F466" s="223"/>
      <c r="G466" s="224"/>
      <c r="H466" s="203">
        <f>SUBTOTAL(9,H437:H465)</f>
        <v>0</v>
      </c>
      <c r="I466" s="90"/>
    </row>
    <row r="467" spans="1:9" ht="13.5" thickBot="1">
      <c r="A467" s="180"/>
      <c r="B467" s="181"/>
      <c r="C467" s="182"/>
      <c r="D467" s="204"/>
      <c r="E467" s="168"/>
      <c r="F467" s="64"/>
      <c r="G467" s="107"/>
      <c r="H467" s="205"/>
      <c r="I467" s="90"/>
    </row>
    <row r="468" spans="1:9" ht="16.5">
      <c r="A468" s="180"/>
      <c r="B468" s="181"/>
      <c r="C468" s="207" t="s">
        <v>292</v>
      </c>
      <c r="D468" s="259" t="s">
        <v>31</v>
      </c>
      <c r="E468" s="259"/>
      <c r="F468" s="260"/>
      <c r="G468" s="259"/>
      <c r="H468" s="259"/>
      <c r="I468" s="90"/>
    </row>
    <row r="469" spans="1:9" ht="82.5" customHeight="1">
      <c r="A469" s="180"/>
      <c r="B469" s="181"/>
      <c r="C469" s="176"/>
      <c r="D469" s="316" t="s">
        <v>52</v>
      </c>
      <c r="E469" s="316"/>
      <c r="F469" s="316"/>
      <c r="G469" s="226"/>
      <c r="H469" s="226"/>
      <c r="I469" s="90"/>
    </row>
    <row r="470" spans="1:11" ht="16.5">
      <c r="A470" s="190">
        <f>A465+1</f>
        <v>236</v>
      </c>
      <c r="B470" s="187" t="s">
        <v>448</v>
      </c>
      <c r="C470" s="189" t="s">
        <v>3</v>
      </c>
      <c r="D470" s="183" t="s">
        <v>449</v>
      </c>
      <c r="E470" s="184" t="s">
        <v>403</v>
      </c>
      <c r="F470" s="3">
        <f>+F471+F472</f>
        <v>10.35</v>
      </c>
      <c r="G470" s="285"/>
      <c r="H470" s="155">
        <f>F470*G470</f>
        <v>0</v>
      </c>
      <c r="I470" s="90" t="s">
        <v>104</v>
      </c>
      <c r="K470" s="230"/>
    </row>
    <row r="471" spans="1:11" ht="16.5">
      <c r="A471" s="180">
        <f aca="true" t="shared" si="36" ref="A471:A480">A470+1</f>
        <v>237</v>
      </c>
      <c r="B471" s="188" t="s">
        <v>950</v>
      </c>
      <c r="C471" s="213" t="s">
        <v>2</v>
      </c>
      <c r="D471" s="214" t="s">
        <v>951</v>
      </c>
      <c r="E471" s="220" t="s">
        <v>403</v>
      </c>
      <c r="F471" s="4">
        <f>1.8+7.35</f>
        <v>9.15</v>
      </c>
      <c r="G471" s="287"/>
      <c r="H471" s="221">
        <f>F471*G471</f>
        <v>0</v>
      </c>
      <c r="I471" s="90" t="s">
        <v>104</v>
      </c>
      <c r="K471" s="230" t="s">
        <v>417</v>
      </c>
    </row>
    <row r="472" spans="1:11" ht="38.25">
      <c r="A472" s="180">
        <f t="shared" si="36"/>
        <v>238</v>
      </c>
      <c r="B472" s="187" t="s">
        <v>844</v>
      </c>
      <c r="C472" s="218" t="s">
        <v>2</v>
      </c>
      <c r="D472" s="219" t="s">
        <v>418</v>
      </c>
      <c r="E472" s="220" t="s">
        <v>403</v>
      </c>
      <c r="F472" s="4">
        <f>4*0.3</f>
        <v>1.2</v>
      </c>
      <c r="G472" s="287"/>
      <c r="H472" s="221">
        <f>F472*G472</f>
        <v>0</v>
      </c>
      <c r="I472" s="90" t="s">
        <v>104</v>
      </c>
      <c r="K472" s="230" t="s">
        <v>419</v>
      </c>
    </row>
    <row r="473" spans="1:9" ht="12.75">
      <c r="A473" s="180">
        <f t="shared" si="36"/>
        <v>239</v>
      </c>
      <c r="B473" s="181">
        <v>429853211</v>
      </c>
      <c r="C473" s="218" t="s">
        <v>2</v>
      </c>
      <c r="D473" s="219" t="s">
        <v>420</v>
      </c>
      <c r="E473" s="220" t="s">
        <v>402</v>
      </c>
      <c r="F473" s="4">
        <v>3</v>
      </c>
      <c r="G473" s="287"/>
      <c r="H473" s="221">
        <f aca="true" t="shared" si="37" ref="H473:H491">F473*G473</f>
        <v>0</v>
      </c>
      <c r="I473" s="90" t="s">
        <v>104</v>
      </c>
    </row>
    <row r="474" spans="1:9" ht="12.75">
      <c r="A474" s="180">
        <f>A473+1</f>
        <v>240</v>
      </c>
      <c r="B474" s="181">
        <v>429853221</v>
      </c>
      <c r="C474" s="218" t="s">
        <v>2</v>
      </c>
      <c r="D474" s="219" t="s">
        <v>421</v>
      </c>
      <c r="E474" s="220" t="s">
        <v>402</v>
      </c>
      <c r="F474" s="4">
        <v>1</v>
      </c>
      <c r="G474" s="287"/>
      <c r="H474" s="221">
        <f>F474*G474</f>
        <v>0</v>
      </c>
      <c r="I474" s="90" t="s">
        <v>104</v>
      </c>
    </row>
    <row r="475" spans="1:9" ht="12.75">
      <c r="A475" s="180">
        <f>A474+1</f>
        <v>241</v>
      </c>
      <c r="B475" s="181">
        <v>429853241</v>
      </c>
      <c r="C475" s="218" t="s">
        <v>2</v>
      </c>
      <c r="D475" s="219" t="s">
        <v>842</v>
      </c>
      <c r="E475" s="220" t="s">
        <v>402</v>
      </c>
      <c r="F475" s="4">
        <v>13</v>
      </c>
      <c r="G475" s="287"/>
      <c r="H475" s="221">
        <f>F475*G475</f>
        <v>0</v>
      </c>
      <c r="I475" s="90" t="s">
        <v>104</v>
      </c>
    </row>
    <row r="476" spans="1:9" ht="12.75">
      <c r="A476" s="180">
        <f>A475+1</f>
        <v>242</v>
      </c>
      <c r="B476" s="181">
        <v>429853271</v>
      </c>
      <c r="C476" s="218" t="s">
        <v>2</v>
      </c>
      <c r="D476" s="219" t="s">
        <v>841</v>
      </c>
      <c r="E476" s="220" t="s">
        <v>402</v>
      </c>
      <c r="F476" s="4">
        <f>+F475</f>
        <v>13</v>
      </c>
      <c r="G476" s="287"/>
      <c r="H476" s="221">
        <f>F476*G476</f>
        <v>0</v>
      </c>
      <c r="I476" s="90" t="s">
        <v>104</v>
      </c>
    </row>
    <row r="477" spans="1:9" ht="12.75">
      <c r="A477" s="180">
        <f>A476+1</f>
        <v>243</v>
      </c>
      <c r="B477" s="181">
        <v>429853246</v>
      </c>
      <c r="C477" s="218" t="s">
        <v>2</v>
      </c>
      <c r="D477" s="219" t="s">
        <v>422</v>
      </c>
      <c r="E477" s="220" t="s">
        <v>402</v>
      </c>
      <c r="F477" s="4">
        <v>1</v>
      </c>
      <c r="G477" s="287"/>
      <c r="H477" s="221">
        <f t="shared" si="37"/>
        <v>0</v>
      </c>
      <c r="I477" s="90" t="s">
        <v>104</v>
      </c>
    </row>
    <row r="478" spans="1:11" ht="25.5">
      <c r="A478" s="180">
        <f t="shared" si="36"/>
        <v>244</v>
      </c>
      <c r="B478" s="187" t="s">
        <v>850</v>
      </c>
      <c r="C478" s="218" t="s">
        <v>2</v>
      </c>
      <c r="D478" s="219" t="s">
        <v>428</v>
      </c>
      <c r="E478" s="220" t="s">
        <v>402</v>
      </c>
      <c r="F478" s="4">
        <v>2</v>
      </c>
      <c r="G478" s="287"/>
      <c r="H478" s="221">
        <f>F478*G478</f>
        <v>0</v>
      </c>
      <c r="I478" s="90" t="s">
        <v>104</v>
      </c>
      <c r="K478" s="230" t="s">
        <v>429</v>
      </c>
    </row>
    <row r="479" spans="1:11" ht="16.5">
      <c r="A479" s="180">
        <f t="shared" si="36"/>
        <v>245</v>
      </c>
      <c r="B479" s="187" t="s">
        <v>712</v>
      </c>
      <c r="C479" s="189" t="s">
        <v>350</v>
      </c>
      <c r="D479" s="184" t="s">
        <v>711</v>
      </c>
      <c r="E479" s="184" t="s">
        <v>403</v>
      </c>
      <c r="F479" s="3">
        <v>2</v>
      </c>
      <c r="G479" s="285"/>
      <c r="H479" s="155">
        <f t="shared" si="37"/>
        <v>0</v>
      </c>
      <c r="I479" s="90" t="s">
        <v>104</v>
      </c>
      <c r="K479" s="230" t="s">
        <v>713</v>
      </c>
    </row>
    <row r="480" spans="1:11" ht="16.5">
      <c r="A480" s="180">
        <f t="shared" si="36"/>
        <v>246</v>
      </c>
      <c r="B480" s="187" t="s">
        <v>451</v>
      </c>
      <c r="C480" s="189" t="s">
        <v>3</v>
      </c>
      <c r="D480" s="183" t="s">
        <v>450</v>
      </c>
      <c r="E480" s="184" t="s">
        <v>402</v>
      </c>
      <c r="F480" s="3">
        <v>3</v>
      </c>
      <c r="G480" s="285"/>
      <c r="H480" s="155">
        <f t="shared" si="37"/>
        <v>0</v>
      </c>
      <c r="I480" s="90" t="s">
        <v>104</v>
      </c>
      <c r="K480" s="230"/>
    </row>
    <row r="481" spans="1:11" ht="16.5">
      <c r="A481" s="180">
        <f aca="true" t="shared" si="38" ref="A481:A491">A480+1</f>
        <v>247</v>
      </c>
      <c r="B481" s="187" t="s">
        <v>874</v>
      </c>
      <c r="C481" s="218" t="s">
        <v>2</v>
      </c>
      <c r="D481" s="219" t="s">
        <v>423</v>
      </c>
      <c r="E481" s="220" t="s">
        <v>402</v>
      </c>
      <c r="F481" s="4">
        <v>3</v>
      </c>
      <c r="G481" s="292"/>
      <c r="H481" s="221">
        <f t="shared" si="37"/>
        <v>0</v>
      </c>
      <c r="I481" s="90" t="s">
        <v>104</v>
      </c>
      <c r="K481" s="230" t="s">
        <v>424</v>
      </c>
    </row>
    <row r="482" spans="1:11" ht="16.5">
      <c r="A482" s="180">
        <f t="shared" si="38"/>
        <v>248</v>
      </c>
      <c r="B482" s="181" t="s">
        <v>235</v>
      </c>
      <c r="C482" s="189" t="s">
        <v>3</v>
      </c>
      <c r="D482" s="183" t="s">
        <v>847</v>
      </c>
      <c r="E482" s="184" t="s">
        <v>402</v>
      </c>
      <c r="F482" s="3">
        <v>1</v>
      </c>
      <c r="G482" s="285"/>
      <c r="H482" s="155">
        <f t="shared" si="37"/>
        <v>0</v>
      </c>
      <c r="I482" s="90" t="s">
        <v>104</v>
      </c>
      <c r="K482" s="230"/>
    </row>
    <row r="483" spans="1:11" ht="16.5">
      <c r="A483" s="180">
        <f t="shared" si="38"/>
        <v>249</v>
      </c>
      <c r="B483" s="187" t="s">
        <v>848</v>
      </c>
      <c r="C483" s="218" t="s">
        <v>2</v>
      </c>
      <c r="D483" s="219" t="s">
        <v>426</v>
      </c>
      <c r="E483" s="220" t="s">
        <v>402</v>
      </c>
      <c r="F483" s="4">
        <v>1</v>
      </c>
      <c r="G483" s="292"/>
      <c r="H483" s="221">
        <f>F483*G483</f>
        <v>0</v>
      </c>
      <c r="I483" s="90" t="s">
        <v>104</v>
      </c>
      <c r="K483" s="230" t="s">
        <v>425</v>
      </c>
    </row>
    <row r="484" spans="1:11" ht="16.5">
      <c r="A484" s="180">
        <f t="shared" si="38"/>
        <v>250</v>
      </c>
      <c r="B484" s="181" t="s">
        <v>845</v>
      </c>
      <c r="C484" s="189" t="s">
        <v>3</v>
      </c>
      <c r="D484" s="183" t="s">
        <v>846</v>
      </c>
      <c r="E484" s="184" t="s">
        <v>403</v>
      </c>
      <c r="F484" s="3">
        <f>F485</f>
        <v>16</v>
      </c>
      <c r="G484" s="285"/>
      <c r="H484" s="155">
        <f>F484*G484</f>
        <v>0</v>
      </c>
      <c r="I484" s="90" t="s">
        <v>104</v>
      </c>
      <c r="K484" s="230"/>
    </row>
    <row r="485" spans="1:11" ht="16.5">
      <c r="A485" s="180">
        <f t="shared" si="38"/>
        <v>251</v>
      </c>
      <c r="B485" s="187" t="s">
        <v>843</v>
      </c>
      <c r="C485" s="218" t="s">
        <v>2</v>
      </c>
      <c r="D485" s="219" t="s">
        <v>427</v>
      </c>
      <c r="E485" s="220" t="s">
        <v>403</v>
      </c>
      <c r="F485" s="4">
        <v>16</v>
      </c>
      <c r="G485" s="287"/>
      <c r="H485" s="221">
        <f t="shared" si="37"/>
        <v>0</v>
      </c>
      <c r="I485" s="90" t="s">
        <v>104</v>
      </c>
      <c r="K485" s="230" t="s">
        <v>430</v>
      </c>
    </row>
    <row r="486" spans="1:11" ht="16.5">
      <c r="A486" s="180">
        <f t="shared" si="38"/>
        <v>252</v>
      </c>
      <c r="B486" s="212" t="s">
        <v>873</v>
      </c>
      <c r="C486" s="257" t="s">
        <v>3</v>
      </c>
      <c r="D486" s="152" t="s">
        <v>646</v>
      </c>
      <c r="E486" s="153" t="s">
        <v>403</v>
      </c>
      <c r="F486" s="7">
        <f>F487</f>
        <v>16</v>
      </c>
      <c r="G486" s="285"/>
      <c r="H486" s="155">
        <f>F486*G486</f>
        <v>0</v>
      </c>
      <c r="I486" s="36" t="s">
        <v>104</v>
      </c>
      <c r="K486" s="230"/>
    </row>
    <row r="487" spans="1:11" ht="16.5">
      <c r="A487" s="180">
        <f t="shared" si="38"/>
        <v>253</v>
      </c>
      <c r="B487" s="212">
        <v>5534315501</v>
      </c>
      <c r="C487" s="213" t="s">
        <v>2</v>
      </c>
      <c r="D487" s="214" t="s">
        <v>647</v>
      </c>
      <c r="E487" s="215" t="s">
        <v>403</v>
      </c>
      <c r="F487" s="216">
        <v>16</v>
      </c>
      <c r="G487" s="287"/>
      <c r="H487" s="217">
        <f>F487*G487</f>
        <v>0</v>
      </c>
      <c r="I487" s="36" t="s">
        <v>104</v>
      </c>
      <c r="K487" s="230" t="s">
        <v>648</v>
      </c>
    </row>
    <row r="488" spans="1:11" ht="16.5">
      <c r="A488" s="180">
        <f t="shared" si="38"/>
        <v>254</v>
      </c>
      <c r="B488" s="181" t="s">
        <v>238</v>
      </c>
      <c r="C488" s="189" t="s">
        <v>237</v>
      </c>
      <c r="D488" s="183" t="s">
        <v>236</v>
      </c>
      <c r="E488" s="184" t="s">
        <v>402</v>
      </c>
      <c r="F488" s="3">
        <v>2</v>
      </c>
      <c r="G488" s="285"/>
      <c r="H488" s="155">
        <f t="shared" si="37"/>
        <v>0</v>
      </c>
      <c r="I488" s="90" t="s">
        <v>104</v>
      </c>
      <c r="K488" s="230"/>
    </row>
    <row r="489" spans="1:9" ht="12.75">
      <c r="A489" s="180">
        <f t="shared" si="38"/>
        <v>255</v>
      </c>
      <c r="B489" s="181">
        <v>42972095</v>
      </c>
      <c r="C489" s="218" t="s">
        <v>2</v>
      </c>
      <c r="D489" s="219" t="s">
        <v>849</v>
      </c>
      <c r="E489" s="220" t="s">
        <v>399</v>
      </c>
      <c r="F489" s="4">
        <v>2</v>
      </c>
      <c r="G489" s="287"/>
      <c r="H489" s="221">
        <f t="shared" si="37"/>
        <v>0</v>
      </c>
      <c r="I489" s="90" t="s">
        <v>104</v>
      </c>
    </row>
    <row r="490" spans="1:10" s="99" customFormat="1" ht="12.75">
      <c r="A490" s="180">
        <f t="shared" si="38"/>
        <v>256</v>
      </c>
      <c r="B490" s="193" t="s">
        <v>871</v>
      </c>
      <c r="C490" s="228" t="s">
        <v>700</v>
      </c>
      <c r="D490" s="152" t="s">
        <v>872</v>
      </c>
      <c r="E490" s="153" t="s">
        <v>399</v>
      </c>
      <c r="F490" s="7">
        <v>1</v>
      </c>
      <c r="G490" s="285"/>
      <c r="H490" s="155">
        <f t="shared" si="37"/>
        <v>0</v>
      </c>
      <c r="I490" s="36" t="s">
        <v>101</v>
      </c>
      <c r="J490" s="296"/>
    </row>
    <row r="491" spans="1:10" s="99" customFormat="1" ht="13.5" thickBot="1">
      <c r="A491" s="180">
        <f t="shared" si="38"/>
        <v>257</v>
      </c>
      <c r="B491" s="187" t="s">
        <v>753</v>
      </c>
      <c r="C491" s="238"/>
      <c r="D491" s="152" t="s">
        <v>17</v>
      </c>
      <c r="E491" s="261" t="s">
        <v>408</v>
      </c>
      <c r="F491" s="7">
        <f>+H471+H472+H473+H474+H477+H478+H479+H481+H483+H485+H487+H489</f>
        <v>0</v>
      </c>
      <c r="G491" s="293"/>
      <c r="H491" s="262">
        <f t="shared" si="37"/>
        <v>0</v>
      </c>
      <c r="I491" s="36" t="s">
        <v>104</v>
      </c>
      <c r="J491" s="296"/>
    </row>
    <row r="492" spans="1:8" ht="13.5" thickBot="1">
      <c r="A492" s="180"/>
      <c r="B492" s="181"/>
      <c r="C492" s="182"/>
      <c r="D492" s="162" t="s">
        <v>401</v>
      </c>
      <c r="E492" s="163"/>
      <c r="F492" s="223"/>
      <c r="G492" s="224"/>
      <c r="H492" s="203">
        <f>SUM(H470:H491)</f>
        <v>0</v>
      </c>
    </row>
    <row r="493" spans="1:8" ht="12.75">
      <c r="A493" s="180"/>
      <c r="B493" s="181"/>
      <c r="C493" s="182"/>
      <c r="D493" s="204"/>
      <c r="E493" s="168"/>
      <c r="F493" s="64"/>
      <c r="G493" s="107"/>
      <c r="H493" s="205"/>
    </row>
    <row r="494" spans="1:10" s="99" customFormat="1" ht="16.5">
      <c r="A494" s="190"/>
      <c r="B494" s="210"/>
      <c r="C494" s="263" t="s">
        <v>293</v>
      </c>
      <c r="D494" s="264" t="s">
        <v>140</v>
      </c>
      <c r="E494" s="265"/>
      <c r="F494" s="206"/>
      <c r="G494" s="265"/>
      <c r="H494" s="265"/>
      <c r="I494" s="36"/>
      <c r="J494" s="296"/>
    </row>
    <row r="495" spans="1:10" s="99" customFormat="1" ht="52.5" customHeight="1">
      <c r="A495" s="190"/>
      <c r="B495" s="210"/>
      <c r="C495" s="266"/>
      <c r="D495" s="316" t="s">
        <v>379</v>
      </c>
      <c r="E495" s="316"/>
      <c r="F495" s="316"/>
      <c r="G495" s="235"/>
      <c r="H495" s="235"/>
      <c r="I495" s="36"/>
      <c r="J495" s="296"/>
    </row>
    <row r="496" spans="1:10" s="99" customFormat="1" ht="12.75">
      <c r="A496" s="190">
        <f>A491+1</f>
        <v>258</v>
      </c>
      <c r="B496" s="193" t="s">
        <v>715</v>
      </c>
      <c r="C496" s="151"/>
      <c r="D496" s="152" t="s">
        <v>653</v>
      </c>
      <c r="E496" s="153" t="s">
        <v>403</v>
      </c>
      <c r="F496" s="7">
        <v>93</v>
      </c>
      <c r="G496" s="285"/>
      <c r="H496" s="155">
        <f>F496*G496</f>
        <v>0</v>
      </c>
      <c r="I496" s="267" t="s">
        <v>101</v>
      </c>
      <c r="J496" s="296"/>
    </row>
    <row r="497" spans="1:10" s="99" customFormat="1" ht="12.75">
      <c r="A497" s="190">
        <f>A496+1</f>
        <v>259</v>
      </c>
      <c r="B497" s="210" t="s">
        <v>716</v>
      </c>
      <c r="C497" s="151"/>
      <c r="D497" s="152" t="s">
        <v>654</v>
      </c>
      <c r="E497" s="153" t="s">
        <v>403</v>
      </c>
      <c r="F497" s="7">
        <v>24</v>
      </c>
      <c r="G497" s="285"/>
      <c r="H497" s="155">
        <f aca="true" t="shared" si="39" ref="H497:H525">F497*G497</f>
        <v>0</v>
      </c>
      <c r="I497" s="267" t="s">
        <v>101</v>
      </c>
      <c r="J497" s="296"/>
    </row>
    <row r="498" spans="1:11" s="99" customFormat="1" ht="12.75">
      <c r="A498" s="190">
        <f aca="true" t="shared" si="40" ref="A498:A533">A497+1</f>
        <v>260</v>
      </c>
      <c r="B498" s="210" t="s">
        <v>717</v>
      </c>
      <c r="C498" s="151"/>
      <c r="D498" s="152" t="s">
        <v>655</v>
      </c>
      <c r="E498" s="153" t="s">
        <v>403</v>
      </c>
      <c r="F498" s="7">
        <v>43</v>
      </c>
      <c r="G498" s="285"/>
      <c r="H498" s="155">
        <f t="shared" si="39"/>
        <v>0</v>
      </c>
      <c r="I498" s="267" t="s">
        <v>101</v>
      </c>
      <c r="J498" s="296"/>
      <c r="K498" s="74"/>
    </row>
    <row r="499" spans="1:11" s="99" customFormat="1" ht="25.5">
      <c r="A499" s="190">
        <f t="shared" si="40"/>
        <v>261</v>
      </c>
      <c r="B499" s="210" t="s">
        <v>718</v>
      </c>
      <c r="C499" s="151"/>
      <c r="D499" s="152" t="s">
        <v>659</v>
      </c>
      <c r="E499" s="153" t="s">
        <v>403</v>
      </c>
      <c r="F499" s="7">
        <v>12</v>
      </c>
      <c r="G499" s="285"/>
      <c r="H499" s="155">
        <f>F499*G499</f>
        <v>0</v>
      </c>
      <c r="I499" s="267" t="s">
        <v>101</v>
      </c>
      <c r="J499" s="296"/>
      <c r="K499" s="230" t="s">
        <v>714</v>
      </c>
    </row>
    <row r="500" spans="1:10" s="99" customFormat="1" ht="12.75">
      <c r="A500" s="190">
        <f>A499+1</f>
        <v>262</v>
      </c>
      <c r="B500" s="210" t="s">
        <v>719</v>
      </c>
      <c r="C500" s="151"/>
      <c r="D500" s="152" t="s">
        <v>656</v>
      </c>
      <c r="E500" s="153" t="s">
        <v>403</v>
      </c>
      <c r="F500" s="7">
        <f>+F496+F497+F498</f>
        <v>160</v>
      </c>
      <c r="G500" s="285"/>
      <c r="H500" s="155">
        <f t="shared" si="39"/>
        <v>0</v>
      </c>
      <c r="I500" s="267" t="s">
        <v>101</v>
      </c>
      <c r="J500" s="296"/>
    </row>
    <row r="501" spans="1:10" s="99" customFormat="1" ht="12.75">
      <c r="A501" s="190">
        <f aca="true" t="shared" si="41" ref="A501:A509">A500+1</f>
        <v>263</v>
      </c>
      <c r="B501" s="193" t="s">
        <v>917</v>
      </c>
      <c r="C501" s="151"/>
      <c r="D501" s="152" t="s">
        <v>918</v>
      </c>
      <c r="E501" s="153" t="s">
        <v>402</v>
      </c>
      <c r="F501" s="7">
        <f>+F506+F507+F508</f>
        <v>21</v>
      </c>
      <c r="G501" s="285"/>
      <c r="H501" s="155">
        <f t="shared" si="39"/>
        <v>0</v>
      </c>
      <c r="I501" s="267" t="s">
        <v>101</v>
      </c>
      <c r="J501" s="296"/>
    </row>
    <row r="502" spans="1:10" s="99" customFormat="1" ht="12.75">
      <c r="A502" s="190">
        <f t="shared" si="41"/>
        <v>264</v>
      </c>
      <c r="B502" s="210" t="s">
        <v>924</v>
      </c>
      <c r="C502" s="151"/>
      <c r="D502" s="152" t="s">
        <v>925</v>
      </c>
      <c r="E502" s="153" t="s">
        <v>402</v>
      </c>
      <c r="F502" s="7">
        <f>+F509</f>
        <v>9</v>
      </c>
      <c r="G502" s="285"/>
      <c r="H502" s="155">
        <f t="shared" si="39"/>
        <v>0</v>
      </c>
      <c r="I502" s="267" t="s">
        <v>101</v>
      </c>
      <c r="J502" s="296"/>
    </row>
    <row r="503" spans="1:10" s="99" customFormat="1" ht="12.75">
      <c r="A503" s="190">
        <f t="shared" si="41"/>
        <v>265</v>
      </c>
      <c r="B503" s="193" t="s">
        <v>920</v>
      </c>
      <c r="C503" s="151"/>
      <c r="D503" s="152" t="s">
        <v>919</v>
      </c>
      <c r="E503" s="153" t="s">
        <v>402</v>
      </c>
      <c r="F503" s="7">
        <f>+F504+F505+F510</f>
        <v>4</v>
      </c>
      <c r="G503" s="285"/>
      <c r="H503" s="155">
        <f t="shared" si="39"/>
        <v>0</v>
      </c>
      <c r="I503" s="267" t="s">
        <v>101</v>
      </c>
      <c r="J503" s="296"/>
    </row>
    <row r="504" spans="1:10" s="99" customFormat="1" ht="12.75">
      <c r="A504" s="190">
        <f t="shared" si="41"/>
        <v>266</v>
      </c>
      <c r="B504" s="193" t="s">
        <v>913</v>
      </c>
      <c r="C504" s="238"/>
      <c r="D504" s="152" t="s">
        <v>914</v>
      </c>
      <c r="E504" s="152" t="s">
        <v>402</v>
      </c>
      <c r="F504" s="7">
        <v>1</v>
      </c>
      <c r="G504" s="285"/>
      <c r="H504" s="155">
        <f t="shared" si="39"/>
        <v>0</v>
      </c>
      <c r="I504" s="267" t="s">
        <v>101</v>
      </c>
      <c r="J504" s="296"/>
    </row>
    <row r="505" spans="1:11" s="99" customFormat="1" ht="12.75">
      <c r="A505" s="190">
        <f t="shared" si="41"/>
        <v>267</v>
      </c>
      <c r="B505" s="193" t="s">
        <v>916</v>
      </c>
      <c r="C505" s="238"/>
      <c r="D505" s="152" t="s">
        <v>915</v>
      </c>
      <c r="E505" s="152" t="s">
        <v>402</v>
      </c>
      <c r="F505" s="7">
        <v>1</v>
      </c>
      <c r="G505" s="285"/>
      <c r="H505" s="155">
        <f t="shared" si="39"/>
        <v>0</v>
      </c>
      <c r="I505" s="267" t="s">
        <v>101</v>
      </c>
      <c r="J505" s="296"/>
      <c r="K505" s="99" t="s">
        <v>742</v>
      </c>
    </row>
    <row r="506" spans="1:10" s="99" customFormat="1" ht="12.75">
      <c r="A506" s="190">
        <f t="shared" si="41"/>
        <v>268</v>
      </c>
      <c r="B506" s="268" t="s">
        <v>911</v>
      </c>
      <c r="C506" s="269"/>
      <c r="D506" s="152" t="s">
        <v>657</v>
      </c>
      <c r="E506" s="152" t="s">
        <v>402</v>
      </c>
      <c r="F506" s="7">
        <v>6</v>
      </c>
      <c r="G506" s="285"/>
      <c r="H506" s="155">
        <f t="shared" si="39"/>
        <v>0</v>
      </c>
      <c r="I506" s="267" t="s">
        <v>101</v>
      </c>
      <c r="J506" s="296"/>
    </row>
    <row r="507" spans="1:10" s="99" customFormat="1" ht="12.75">
      <c r="A507" s="190">
        <f t="shared" si="41"/>
        <v>269</v>
      </c>
      <c r="B507" s="212" t="s">
        <v>912</v>
      </c>
      <c r="C507" s="238"/>
      <c r="D507" s="152" t="s">
        <v>885</v>
      </c>
      <c r="E507" s="152" t="s">
        <v>402</v>
      </c>
      <c r="F507" s="7">
        <v>4</v>
      </c>
      <c r="G507" s="285"/>
      <c r="H507" s="155">
        <f t="shared" si="39"/>
        <v>0</v>
      </c>
      <c r="I507" s="267" t="s">
        <v>101</v>
      </c>
      <c r="J507" s="296"/>
    </row>
    <row r="508" spans="1:10" s="99" customFormat="1" ht="12.75">
      <c r="A508" s="190">
        <f t="shared" si="41"/>
        <v>270</v>
      </c>
      <c r="B508" s="193">
        <v>5513730630</v>
      </c>
      <c r="C508" s="238"/>
      <c r="D508" s="152" t="s">
        <v>886</v>
      </c>
      <c r="E508" s="152" t="s">
        <v>402</v>
      </c>
      <c r="F508" s="7">
        <v>11</v>
      </c>
      <c r="G508" s="285"/>
      <c r="H508" s="155">
        <f>F508*G508</f>
        <v>0</v>
      </c>
      <c r="I508" s="267" t="s">
        <v>101</v>
      </c>
      <c r="J508" s="296"/>
    </row>
    <row r="509" spans="1:10" s="99" customFormat="1" ht="25.5">
      <c r="A509" s="190">
        <f t="shared" si="41"/>
        <v>271</v>
      </c>
      <c r="B509" s="193" t="s">
        <v>910</v>
      </c>
      <c r="C509" s="238"/>
      <c r="D509" s="152" t="s">
        <v>922</v>
      </c>
      <c r="E509" s="152" t="s">
        <v>402</v>
      </c>
      <c r="F509" s="7">
        <v>9</v>
      </c>
      <c r="G509" s="285"/>
      <c r="H509" s="155">
        <f>F509*G509</f>
        <v>0</v>
      </c>
      <c r="I509" s="267" t="s">
        <v>101</v>
      </c>
      <c r="J509" s="296"/>
    </row>
    <row r="510" spans="1:10" s="99" customFormat="1" ht="25.5">
      <c r="A510" s="190">
        <f t="shared" si="40"/>
        <v>272</v>
      </c>
      <c r="B510" s="193" t="s">
        <v>921</v>
      </c>
      <c r="C510" s="238"/>
      <c r="D510" s="152" t="s">
        <v>923</v>
      </c>
      <c r="E510" s="152" t="s">
        <v>402</v>
      </c>
      <c r="F510" s="7">
        <v>2</v>
      </c>
      <c r="G510" s="285"/>
      <c r="H510" s="155">
        <f>F510*G510</f>
        <v>0</v>
      </c>
      <c r="I510" s="267" t="s">
        <v>101</v>
      </c>
      <c r="J510" s="296"/>
    </row>
    <row r="511" spans="1:9" ht="25.5">
      <c r="A511" s="180">
        <f>A510+1</f>
        <v>273</v>
      </c>
      <c r="B511" s="181" t="s">
        <v>904</v>
      </c>
      <c r="C511" s="218" t="s">
        <v>2</v>
      </c>
      <c r="D511" s="219" t="s">
        <v>889</v>
      </c>
      <c r="E511" s="220" t="s">
        <v>402</v>
      </c>
      <c r="F511" s="4">
        <v>1</v>
      </c>
      <c r="G511" s="287"/>
      <c r="H511" s="221">
        <f t="shared" si="39"/>
        <v>0</v>
      </c>
      <c r="I511" s="90" t="s">
        <v>101</v>
      </c>
    </row>
    <row r="512" spans="1:9" ht="25.5">
      <c r="A512" s="180">
        <f t="shared" si="40"/>
        <v>274</v>
      </c>
      <c r="B512" s="181" t="s">
        <v>905</v>
      </c>
      <c r="C512" s="218" t="s">
        <v>2</v>
      </c>
      <c r="D512" s="219" t="s">
        <v>660</v>
      </c>
      <c r="E512" s="220" t="s">
        <v>402</v>
      </c>
      <c r="F512" s="4">
        <v>1</v>
      </c>
      <c r="G512" s="287"/>
      <c r="H512" s="221">
        <f>F512*G512</f>
        <v>0</v>
      </c>
      <c r="I512" s="90" t="s">
        <v>101</v>
      </c>
    </row>
    <row r="513" spans="1:9" ht="25.5">
      <c r="A513" s="180">
        <f t="shared" si="40"/>
        <v>275</v>
      </c>
      <c r="B513" s="181" t="s">
        <v>906</v>
      </c>
      <c r="C513" s="218" t="s">
        <v>2</v>
      </c>
      <c r="D513" s="219" t="s">
        <v>661</v>
      </c>
      <c r="E513" s="220" t="s">
        <v>402</v>
      </c>
      <c r="F513" s="4">
        <v>1</v>
      </c>
      <c r="G513" s="287"/>
      <c r="H513" s="221">
        <f>F513*G513</f>
        <v>0</v>
      </c>
      <c r="I513" s="90" t="s">
        <v>101</v>
      </c>
    </row>
    <row r="514" spans="1:9" ht="25.5">
      <c r="A514" s="180">
        <f t="shared" si="40"/>
        <v>276</v>
      </c>
      <c r="B514" s="181" t="s">
        <v>907</v>
      </c>
      <c r="C514" s="218" t="s">
        <v>2</v>
      </c>
      <c r="D514" s="219" t="s">
        <v>662</v>
      </c>
      <c r="E514" s="220" t="s">
        <v>402</v>
      </c>
      <c r="F514" s="4">
        <v>4</v>
      </c>
      <c r="G514" s="287"/>
      <c r="H514" s="221">
        <f t="shared" si="39"/>
        <v>0</v>
      </c>
      <c r="I514" s="90" t="s">
        <v>101</v>
      </c>
    </row>
    <row r="515" spans="1:9" ht="25.5">
      <c r="A515" s="180">
        <f t="shared" si="40"/>
        <v>277</v>
      </c>
      <c r="B515" s="181" t="s">
        <v>908</v>
      </c>
      <c r="C515" s="218" t="s">
        <v>2</v>
      </c>
      <c r="D515" s="219" t="s">
        <v>663</v>
      </c>
      <c r="E515" s="220" t="s">
        <v>402</v>
      </c>
      <c r="F515" s="4">
        <v>1</v>
      </c>
      <c r="G515" s="287"/>
      <c r="H515" s="221">
        <f>F515*G515</f>
        <v>0</v>
      </c>
      <c r="I515" s="90" t="s">
        <v>101</v>
      </c>
    </row>
    <row r="516" spans="1:20" ht="25.5">
      <c r="A516" s="180">
        <f t="shared" si="40"/>
        <v>278</v>
      </c>
      <c r="B516" s="181" t="s">
        <v>909</v>
      </c>
      <c r="C516" s="218" t="s">
        <v>2</v>
      </c>
      <c r="D516" s="219" t="s">
        <v>664</v>
      </c>
      <c r="E516" s="220" t="s">
        <v>402</v>
      </c>
      <c r="F516" s="4">
        <v>1</v>
      </c>
      <c r="G516" s="287"/>
      <c r="H516" s="221">
        <f t="shared" si="39"/>
        <v>0</v>
      </c>
      <c r="I516" s="90" t="s">
        <v>101</v>
      </c>
      <c r="T516" s="34"/>
    </row>
    <row r="517" spans="1:11" s="99" customFormat="1" ht="16.5">
      <c r="A517" s="190">
        <f t="shared" si="40"/>
        <v>279</v>
      </c>
      <c r="B517" s="193" t="s">
        <v>898</v>
      </c>
      <c r="C517" s="151" t="s">
        <v>3</v>
      </c>
      <c r="D517" s="152" t="s">
        <v>899</v>
      </c>
      <c r="E517" s="152" t="s">
        <v>402</v>
      </c>
      <c r="F517" s="7">
        <f>+F511</f>
        <v>1</v>
      </c>
      <c r="G517" s="285"/>
      <c r="H517" s="155">
        <f>F517*G517</f>
        <v>0</v>
      </c>
      <c r="I517" s="267" t="s">
        <v>101</v>
      </c>
      <c r="J517" s="296"/>
      <c r="K517" s="230"/>
    </row>
    <row r="518" spans="1:11" s="99" customFormat="1" ht="16.5">
      <c r="A518" s="190">
        <f t="shared" si="40"/>
        <v>280</v>
      </c>
      <c r="B518" s="193" t="s">
        <v>900</v>
      </c>
      <c r="C518" s="151" t="s">
        <v>3</v>
      </c>
      <c r="D518" s="152" t="s">
        <v>901</v>
      </c>
      <c r="E518" s="152" t="s">
        <v>402</v>
      </c>
      <c r="F518" s="7">
        <f>+F512+F513</f>
        <v>2</v>
      </c>
      <c r="G518" s="285"/>
      <c r="H518" s="155">
        <f>F518*G518</f>
        <v>0</v>
      </c>
      <c r="I518" s="267" t="s">
        <v>101</v>
      </c>
      <c r="J518" s="296"/>
      <c r="K518" s="230"/>
    </row>
    <row r="519" spans="1:11" s="99" customFormat="1" ht="16.5">
      <c r="A519" s="190">
        <f t="shared" si="40"/>
        <v>281</v>
      </c>
      <c r="B519" s="210" t="s">
        <v>902</v>
      </c>
      <c r="C519" s="151" t="s">
        <v>3</v>
      </c>
      <c r="D519" s="183" t="s">
        <v>903</v>
      </c>
      <c r="E519" s="152" t="s">
        <v>402</v>
      </c>
      <c r="F519" s="7">
        <f>+F514+F515+F516</f>
        <v>6</v>
      </c>
      <c r="G519" s="285"/>
      <c r="H519" s="155">
        <f>F519*G519</f>
        <v>0</v>
      </c>
      <c r="I519" s="267" t="s">
        <v>101</v>
      </c>
      <c r="J519" s="296"/>
      <c r="K519" s="230"/>
    </row>
    <row r="520" spans="1:11" ht="25.5">
      <c r="A520" s="180">
        <f t="shared" si="40"/>
        <v>282</v>
      </c>
      <c r="B520" s="181" t="s">
        <v>722</v>
      </c>
      <c r="C520" s="218" t="s">
        <v>2</v>
      </c>
      <c r="D520" s="219" t="s">
        <v>989</v>
      </c>
      <c r="E520" s="220" t="s">
        <v>402</v>
      </c>
      <c r="F520" s="4">
        <v>1</v>
      </c>
      <c r="G520" s="287"/>
      <c r="H520" s="221">
        <f t="shared" si="39"/>
        <v>0</v>
      </c>
      <c r="I520" s="90" t="s">
        <v>101</v>
      </c>
      <c r="K520" s="74" t="s">
        <v>682</v>
      </c>
    </row>
    <row r="521" spans="1:11" ht="25.5">
      <c r="A521" s="180">
        <f t="shared" si="40"/>
        <v>283</v>
      </c>
      <c r="B521" s="181" t="s">
        <v>723</v>
      </c>
      <c r="C521" s="218" t="s">
        <v>2</v>
      </c>
      <c r="D521" s="219" t="s">
        <v>990</v>
      </c>
      <c r="E521" s="220" t="s">
        <v>402</v>
      </c>
      <c r="F521" s="4">
        <v>1</v>
      </c>
      <c r="G521" s="287"/>
      <c r="H521" s="221">
        <f t="shared" si="39"/>
        <v>0</v>
      </c>
      <c r="I521" s="90" t="s">
        <v>101</v>
      </c>
      <c r="K521" s="74" t="s">
        <v>683</v>
      </c>
    </row>
    <row r="522" spans="1:11" s="99" customFormat="1" ht="16.5">
      <c r="A522" s="190">
        <f t="shared" si="40"/>
        <v>284</v>
      </c>
      <c r="B522" s="193" t="s">
        <v>721</v>
      </c>
      <c r="C522" s="151" t="s">
        <v>3</v>
      </c>
      <c r="D522" s="183" t="s">
        <v>720</v>
      </c>
      <c r="E522" s="152" t="s">
        <v>402</v>
      </c>
      <c r="F522" s="7">
        <f>+F521+F520</f>
        <v>2</v>
      </c>
      <c r="G522" s="285"/>
      <c r="H522" s="155">
        <f t="shared" si="39"/>
        <v>0</v>
      </c>
      <c r="I522" s="267" t="s">
        <v>101</v>
      </c>
      <c r="J522" s="296"/>
      <c r="K522" s="230"/>
    </row>
    <row r="523" spans="1:10" s="99" customFormat="1" ht="25.5">
      <c r="A523" s="190">
        <f t="shared" si="40"/>
        <v>285</v>
      </c>
      <c r="B523" s="193" t="s">
        <v>851</v>
      </c>
      <c r="C523" s="151"/>
      <c r="D523" s="152" t="s">
        <v>881</v>
      </c>
      <c r="E523" s="152" t="s">
        <v>403</v>
      </c>
      <c r="F523" s="7">
        <v>48</v>
      </c>
      <c r="G523" s="285"/>
      <c r="H523" s="155">
        <f t="shared" si="39"/>
        <v>0</v>
      </c>
      <c r="I523" s="267" t="s">
        <v>101</v>
      </c>
      <c r="J523" s="296"/>
    </row>
    <row r="524" spans="1:10" s="99" customFormat="1" ht="25.5">
      <c r="A524" s="190">
        <f t="shared" si="40"/>
        <v>286</v>
      </c>
      <c r="B524" s="193" t="s">
        <v>852</v>
      </c>
      <c r="C524" s="151"/>
      <c r="D524" s="152" t="s">
        <v>882</v>
      </c>
      <c r="E524" s="152" t="s">
        <v>403</v>
      </c>
      <c r="F524" s="7">
        <v>18</v>
      </c>
      <c r="G524" s="285"/>
      <c r="H524" s="155">
        <f t="shared" si="39"/>
        <v>0</v>
      </c>
      <c r="I524" s="267" t="s">
        <v>101</v>
      </c>
      <c r="J524" s="296"/>
    </row>
    <row r="525" spans="1:10" s="99" customFormat="1" ht="25.5">
      <c r="A525" s="190">
        <f t="shared" si="40"/>
        <v>287</v>
      </c>
      <c r="B525" s="193" t="s">
        <v>853</v>
      </c>
      <c r="C525" s="151"/>
      <c r="D525" s="152" t="s">
        <v>883</v>
      </c>
      <c r="E525" s="153" t="s">
        <v>403</v>
      </c>
      <c r="F525" s="7">
        <v>32</v>
      </c>
      <c r="G525" s="285"/>
      <c r="H525" s="155">
        <f t="shared" si="39"/>
        <v>0</v>
      </c>
      <c r="I525" s="267" t="s">
        <v>101</v>
      </c>
      <c r="J525" s="296"/>
    </row>
    <row r="526" spans="1:10" s="99" customFormat="1" ht="25.5">
      <c r="A526" s="190">
        <f t="shared" si="40"/>
        <v>288</v>
      </c>
      <c r="B526" s="193" t="s">
        <v>854</v>
      </c>
      <c r="C526" s="151"/>
      <c r="D526" s="152" t="s">
        <v>884</v>
      </c>
      <c r="E526" s="153" t="s">
        <v>403</v>
      </c>
      <c r="F526" s="7">
        <v>9</v>
      </c>
      <c r="G526" s="285"/>
      <c r="H526" s="155">
        <f aca="true" t="shared" si="42" ref="H526:H533">F526*G526</f>
        <v>0</v>
      </c>
      <c r="I526" s="267" t="s">
        <v>101</v>
      </c>
      <c r="J526" s="296"/>
    </row>
    <row r="527" spans="1:10" s="99" customFormat="1" ht="12.75">
      <c r="A527" s="190">
        <f t="shared" si="40"/>
        <v>289</v>
      </c>
      <c r="B527" s="193" t="s">
        <v>892</v>
      </c>
      <c r="C527" s="151"/>
      <c r="D527" s="152" t="s">
        <v>893</v>
      </c>
      <c r="E527" s="153" t="s">
        <v>402</v>
      </c>
      <c r="F527" s="7">
        <f>+F511+F520+F521</f>
        <v>3</v>
      </c>
      <c r="G527" s="285"/>
      <c r="H527" s="155">
        <f t="shared" si="42"/>
        <v>0</v>
      </c>
      <c r="I527" s="267" t="s">
        <v>101</v>
      </c>
      <c r="J527" s="296"/>
    </row>
    <row r="528" spans="1:10" s="99" customFormat="1" ht="12.75">
      <c r="A528" s="190">
        <f t="shared" si="40"/>
        <v>290</v>
      </c>
      <c r="B528" s="193" t="s">
        <v>894</v>
      </c>
      <c r="C528" s="151"/>
      <c r="D528" s="152" t="s">
        <v>895</v>
      </c>
      <c r="E528" s="153" t="s">
        <v>402</v>
      </c>
      <c r="F528" s="7">
        <f>+F512+F513</f>
        <v>2</v>
      </c>
      <c r="G528" s="285"/>
      <c r="H528" s="155">
        <f t="shared" si="42"/>
        <v>0</v>
      </c>
      <c r="I528" s="267" t="s">
        <v>101</v>
      </c>
      <c r="J528" s="296"/>
    </row>
    <row r="529" spans="1:10" s="99" customFormat="1" ht="12.75">
      <c r="A529" s="190">
        <f t="shared" si="40"/>
        <v>291</v>
      </c>
      <c r="B529" s="193" t="s">
        <v>896</v>
      </c>
      <c r="C529" s="151"/>
      <c r="D529" s="152" t="s">
        <v>897</v>
      </c>
      <c r="E529" s="153" t="s">
        <v>402</v>
      </c>
      <c r="F529" s="7">
        <f>+F514+F515+F516</f>
        <v>6</v>
      </c>
      <c r="G529" s="285"/>
      <c r="H529" s="155">
        <f t="shared" si="42"/>
        <v>0</v>
      </c>
      <c r="I529" s="267" t="s">
        <v>101</v>
      </c>
      <c r="J529" s="296"/>
    </row>
    <row r="530" spans="1:10" s="99" customFormat="1" ht="12.75">
      <c r="A530" s="190">
        <f t="shared" si="40"/>
        <v>292</v>
      </c>
      <c r="B530" s="193" t="s">
        <v>855</v>
      </c>
      <c r="C530" s="238"/>
      <c r="D530" s="152" t="s">
        <v>856</v>
      </c>
      <c r="E530" s="153" t="s">
        <v>400</v>
      </c>
      <c r="F530" s="7">
        <f>(0.5*0.5+0.5*1+0.5*1.8+4*0.5*0.7+0.5*1.2+0.5*1.5+1.5*0.5+1.82*0.5)*2</f>
        <v>12.120000000000001</v>
      </c>
      <c r="G530" s="285"/>
      <c r="H530" s="155">
        <f t="shared" si="42"/>
        <v>0</v>
      </c>
      <c r="I530" s="267" t="s">
        <v>101</v>
      </c>
      <c r="J530" s="296"/>
    </row>
    <row r="531" spans="1:10" s="99" customFormat="1" ht="12.75">
      <c r="A531" s="190">
        <f t="shared" si="40"/>
        <v>293</v>
      </c>
      <c r="B531" s="210" t="s">
        <v>858</v>
      </c>
      <c r="C531" s="238"/>
      <c r="D531" s="152" t="s">
        <v>857</v>
      </c>
      <c r="E531" s="153" t="s">
        <v>402</v>
      </c>
      <c r="F531" s="7">
        <f>+F511+F512+F513+F514+F515+F516+F520+F521</f>
        <v>11</v>
      </c>
      <c r="G531" s="285"/>
      <c r="H531" s="155">
        <f t="shared" si="42"/>
        <v>0</v>
      </c>
      <c r="I531" s="267" t="s">
        <v>101</v>
      </c>
      <c r="J531" s="296"/>
    </row>
    <row r="532" spans="1:10" s="99" customFormat="1" ht="12.75">
      <c r="A532" s="190">
        <f t="shared" si="40"/>
        <v>294</v>
      </c>
      <c r="B532" s="193" t="s">
        <v>868</v>
      </c>
      <c r="C532" s="238"/>
      <c r="D532" s="152" t="s">
        <v>658</v>
      </c>
      <c r="E532" s="153" t="s">
        <v>399</v>
      </c>
      <c r="F532" s="7">
        <v>1</v>
      </c>
      <c r="G532" s="285"/>
      <c r="H532" s="155">
        <f t="shared" si="42"/>
        <v>0</v>
      </c>
      <c r="I532" s="267" t="s">
        <v>101</v>
      </c>
      <c r="J532" s="296"/>
    </row>
    <row r="533" spans="1:10" s="99" customFormat="1" ht="13.5" thickBot="1">
      <c r="A533" s="190">
        <f t="shared" si="40"/>
        <v>295</v>
      </c>
      <c r="B533" s="187" t="s">
        <v>753</v>
      </c>
      <c r="C533" s="238"/>
      <c r="D533" s="152" t="s">
        <v>17</v>
      </c>
      <c r="E533" s="153" t="s">
        <v>408</v>
      </c>
      <c r="F533" s="7">
        <f>+H496+H497+H498+H499+H504+H505+H506+H507+H508+H509+H510+H511+H512+H513+H514+H515+H516+H520+H521+H523+H524+H525+H526</f>
        <v>0</v>
      </c>
      <c r="G533" s="293"/>
      <c r="H533" s="262">
        <f t="shared" si="42"/>
        <v>0</v>
      </c>
      <c r="I533" s="267" t="s">
        <v>101</v>
      </c>
      <c r="J533" s="296"/>
    </row>
    <row r="534" spans="1:10" s="99" customFormat="1" ht="13.5" thickBot="1">
      <c r="A534" s="190"/>
      <c r="B534" s="210"/>
      <c r="C534" s="238"/>
      <c r="D534" s="162" t="s">
        <v>401</v>
      </c>
      <c r="E534" s="163"/>
      <c r="F534" s="270"/>
      <c r="G534" s="165"/>
      <c r="H534" s="203">
        <f>SUBTOTAL(9,H496:H533)</f>
        <v>0</v>
      </c>
      <c r="I534" s="36"/>
      <c r="J534" s="296"/>
    </row>
    <row r="535" spans="1:9" ht="12.75">
      <c r="A535" s="180"/>
      <c r="B535" s="181"/>
      <c r="C535" s="182"/>
      <c r="D535" s="204"/>
      <c r="E535" s="168"/>
      <c r="F535" s="64"/>
      <c r="G535" s="107"/>
      <c r="H535" s="205"/>
      <c r="I535" s="90"/>
    </row>
    <row r="536" spans="1:10" s="99" customFormat="1" ht="16.5">
      <c r="A536" s="190"/>
      <c r="B536" s="210"/>
      <c r="C536" s="263" t="s">
        <v>294</v>
      </c>
      <c r="D536" s="264" t="s">
        <v>380</v>
      </c>
      <c r="E536" s="265"/>
      <c r="F536" s="206"/>
      <c r="G536" s="265"/>
      <c r="H536" s="265"/>
      <c r="I536" s="36"/>
      <c r="J536" s="296"/>
    </row>
    <row r="537" spans="1:10" s="99" customFormat="1" ht="56.25" customHeight="1">
      <c r="A537" s="190"/>
      <c r="B537" s="210"/>
      <c r="C537" s="266"/>
      <c r="D537" s="316" t="s">
        <v>379</v>
      </c>
      <c r="E537" s="316"/>
      <c r="F537" s="316"/>
      <c r="G537" s="235"/>
      <c r="H537" s="235"/>
      <c r="I537" s="36"/>
      <c r="J537" s="296"/>
    </row>
    <row r="538" spans="1:24" s="99" customFormat="1" ht="12.75">
      <c r="A538" s="190">
        <f>A533+1</f>
        <v>296</v>
      </c>
      <c r="B538" s="210" t="s">
        <v>729</v>
      </c>
      <c r="C538" s="238"/>
      <c r="D538" s="256" t="s">
        <v>452</v>
      </c>
      <c r="E538" s="153" t="s">
        <v>403</v>
      </c>
      <c r="F538" s="7">
        <f>16.2+1.24+7.3+0.85+2.2+1</f>
        <v>28.79</v>
      </c>
      <c r="G538" s="285"/>
      <c r="H538" s="155">
        <f aca="true" t="shared" si="43" ref="H538:H567">F538*G538</f>
        <v>0</v>
      </c>
      <c r="I538" s="90" t="s">
        <v>101</v>
      </c>
      <c r="J538" s="296"/>
      <c r="M538" s="100"/>
      <c r="V538" s="37"/>
      <c r="W538" s="37"/>
      <c r="X538" s="37"/>
    </row>
    <row r="539" spans="1:24" s="99" customFormat="1" ht="12.75">
      <c r="A539" s="190">
        <f aca="true" t="shared" si="44" ref="A539:A548">A538+1</f>
        <v>297</v>
      </c>
      <c r="B539" s="210" t="s">
        <v>869</v>
      </c>
      <c r="C539" s="238"/>
      <c r="D539" s="222" t="s">
        <v>431</v>
      </c>
      <c r="E539" s="153" t="s">
        <v>402</v>
      </c>
      <c r="F539" s="7">
        <v>1</v>
      </c>
      <c r="G539" s="285"/>
      <c r="H539" s="155">
        <f t="shared" si="43"/>
        <v>0</v>
      </c>
      <c r="I539" s="90" t="s">
        <v>101</v>
      </c>
      <c r="J539" s="296"/>
      <c r="M539" s="100"/>
      <c r="V539" s="37"/>
      <c r="W539" s="37"/>
      <c r="X539" s="37"/>
    </row>
    <row r="540" spans="1:17" s="99" customFormat="1" ht="12.75">
      <c r="A540" s="190">
        <f t="shared" si="44"/>
        <v>298</v>
      </c>
      <c r="B540" s="231" t="s">
        <v>649</v>
      </c>
      <c r="C540" s="151"/>
      <c r="D540" s="183" t="s">
        <v>614</v>
      </c>
      <c r="E540" s="153" t="s">
        <v>402</v>
      </c>
      <c r="F540" s="7">
        <v>1</v>
      </c>
      <c r="G540" s="285"/>
      <c r="H540" s="155">
        <f aca="true" t="shared" si="45" ref="H540:H546">F540*G540</f>
        <v>0</v>
      </c>
      <c r="I540" s="36" t="s">
        <v>101</v>
      </c>
      <c r="J540" s="296"/>
      <c r="Q540" s="100">
        <v>0.067</v>
      </c>
    </row>
    <row r="541" spans="1:17" s="99" customFormat="1" ht="25.5">
      <c r="A541" s="190">
        <f t="shared" si="44"/>
        <v>299</v>
      </c>
      <c r="B541" s="212" t="s">
        <v>730</v>
      </c>
      <c r="C541" s="151"/>
      <c r="D541" s="183" t="s">
        <v>731</v>
      </c>
      <c r="E541" s="153" t="s">
        <v>403</v>
      </c>
      <c r="F541" s="7">
        <v>2.4</v>
      </c>
      <c r="G541" s="285"/>
      <c r="H541" s="155">
        <f>F541*G541</f>
        <v>0</v>
      </c>
      <c r="I541" s="36" t="s">
        <v>101</v>
      </c>
      <c r="J541" s="296"/>
      <c r="Q541" s="100"/>
    </row>
    <row r="542" spans="1:17" s="99" customFormat="1" ht="12.75">
      <c r="A542" s="190">
        <f t="shared" si="44"/>
        <v>300</v>
      </c>
      <c r="B542" s="212" t="s">
        <v>457</v>
      </c>
      <c r="C542" s="238"/>
      <c r="D542" s="183" t="s">
        <v>458</v>
      </c>
      <c r="E542" s="153" t="s">
        <v>402</v>
      </c>
      <c r="F542" s="7">
        <v>3</v>
      </c>
      <c r="G542" s="285"/>
      <c r="H542" s="155">
        <f t="shared" si="45"/>
        <v>0</v>
      </c>
      <c r="I542" s="36" t="s">
        <v>101</v>
      </c>
      <c r="J542" s="296"/>
      <c r="Q542" s="100">
        <v>0.067</v>
      </c>
    </row>
    <row r="543" spans="1:24" s="99" customFormat="1" ht="12.75">
      <c r="A543" s="190">
        <f t="shared" si="44"/>
        <v>301</v>
      </c>
      <c r="B543" s="188" t="s">
        <v>453</v>
      </c>
      <c r="C543" s="151"/>
      <c r="D543" s="256" t="s">
        <v>454</v>
      </c>
      <c r="E543" s="153" t="s">
        <v>404</v>
      </c>
      <c r="F543" s="7">
        <f>(2.46/1000)*F538+0.1</f>
        <v>0.17082340000000001</v>
      </c>
      <c r="G543" s="285"/>
      <c r="H543" s="155">
        <f t="shared" si="45"/>
        <v>0</v>
      </c>
      <c r="I543" s="36" t="s">
        <v>101</v>
      </c>
      <c r="J543" s="296"/>
      <c r="M543" s="100"/>
      <c r="V543" s="37"/>
      <c r="W543" s="37"/>
      <c r="X543" s="37"/>
    </row>
    <row r="544" spans="1:24" s="99" customFormat="1" ht="12.75">
      <c r="A544" s="190">
        <f t="shared" si="44"/>
        <v>302</v>
      </c>
      <c r="B544" s="193" t="s">
        <v>870</v>
      </c>
      <c r="C544" s="151"/>
      <c r="D544" s="256" t="s">
        <v>651</v>
      </c>
      <c r="E544" s="153" t="s">
        <v>399</v>
      </c>
      <c r="F544" s="7">
        <v>1</v>
      </c>
      <c r="G544" s="285"/>
      <c r="H544" s="186">
        <f>F544*G544</f>
        <v>0</v>
      </c>
      <c r="I544" s="36" t="s">
        <v>101</v>
      </c>
      <c r="J544" s="296"/>
      <c r="M544" s="100"/>
      <c r="V544" s="37"/>
      <c r="W544" s="37"/>
      <c r="X544" s="37"/>
    </row>
    <row r="545" spans="1:24" s="99" customFormat="1" ht="12.75">
      <c r="A545" s="190">
        <f t="shared" si="44"/>
        <v>303</v>
      </c>
      <c r="B545" s="188" t="s">
        <v>455</v>
      </c>
      <c r="C545" s="151"/>
      <c r="D545" s="256" t="s">
        <v>652</v>
      </c>
      <c r="E545" s="153" t="s">
        <v>402</v>
      </c>
      <c r="F545" s="7">
        <v>1</v>
      </c>
      <c r="G545" s="285"/>
      <c r="H545" s="155">
        <f t="shared" si="45"/>
        <v>0</v>
      </c>
      <c r="I545" s="36" t="s">
        <v>101</v>
      </c>
      <c r="J545" s="296"/>
      <c r="M545" s="100"/>
      <c r="V545" s="37"/>
      <c r="W545" s="37"/>
      <c r="X545" s="37"/>
    </row>
    <row r="546" spans="1:24" s="99" customFormat="1" ht="12.75">
      <c r="A546" s="190">
        <f t="shared" si="44"/>
        <v>304</v>
      </c>
      <c r="B546" s="188" t="s">
        <v>456</v>
      </c>
      <c r="C546" s="151"/>
      <c r="D546" s="256" t="s">
        <v>650</v>
      </c>
      <c r="E546" s="153" t="s">
        <v>399</v>
      </c>
      <c r="F546" s="7">
        <v>1</v>
      </c>
      <c r="G546" s="285"/>
      <c r="H546" s="155">
        <f t="shared" si="45"/>
        <v>0</v>
      </c>
      <c r="I546" s="36" t="s">
        <v>101</v>
      </c>
      <c r="J546" s="296"/>
      <c r="M546" s="100"/>
      <c r="V546" s="37"/>
      <c r="W546" s="37"/>
      <c r="X546" s="37"/>
    </row>
    <row r="547" spans="1:24" s="99" customFormat="1" ht="12.75">
      <c r="A547" s="190">
        <f t="shared" si="44"/>
        <v>305</v>
      </c>
      <c r="B547" s="193" t="s">
        <v>239</v>
      </c>
      <c r="C547" s="238" t="s">
        <v>350</v>
      </c>
      <c r="D547" s="222" t="s">
        <v>991</v>
      </c>
      <c r="E547" s="153" t="s">
        <v>403</v>
      </c>
      <c r="F547" s="7">
        <f>9.4+2.4</f>
        <v>11.8</v>
      </c>
      <c r="G547" s="285"/>
      <c r="H547" s="155">
        <f t="shared" si="43"/>
        <v>0</v>
      </c>
      <c r="I547" s="90" t="s">
        <v>101</v>
      </c>
      <c r="J547" s="296"/>
      <c r="M547" s="100"/>
      <c r="V547" s="37"/>
      <c r="W547" s="37"/>
      <c r="X547" s="37"/>
    </row>
    <row r="548" spans="1:24" s="99" customFormat="1" ht="12.75">
      <c r="A548" s="190">
        <f t="shared" si="44"/>
        <v>306</v>
      </c>
      <c r="B548" s="210" t="s">
        <v>240</v>
      </c>
      <c r="C548" s="238" t="s">
        <v>350</v>
      </c>
      <c r="D548" s="222" t="s">
        <v>992</v>
      </c>
      <c r="E548" s="153" t="s">
        <v>403</v>
      </c>
      <c r="F548" s="7">
        <f>3.76+2.2+1.8+1.8+2</f>
        <v>11.56</v>
      </c>
      <c r="G548" s="285"/>
      <c r="H548" s="155">
        <f t="shared" si="43"/>
        <v>0</v>
      </c>
      <c r="I548" s="90" t="s">
        <v>101</v>
      </c>
      <c r="J548" s="307"/>
      <c r="M548" s="100"/>
      <c r="V548" s="37"/>
      <c r="W548" s="37"/>
      <c r="X548" s="37"/>
    </row>
    <row r="549" spans="1:24" s="99" customFormat="1" ht="12.75">
      <c r="A549" s="190">
        <f aca="true" t="shared" si="46" ref="A549:A570">+A548+1</f>
        <v>307</v>
      </c>
      <c r="B549" s="210" t="s">
        <v>927</v>
      </c>
      <c r="C549" s="238"/>
      <c r="D549" s="222" t="s">
        <v>928</v>
      </c>
      <c r="E549" s="153" t="s">
        <v>402</v>
      </c>
      <c r="F549" s="7">
        <v>2</v>
      </c>
      <c r="G549" s="285"/>
      <c r="H549" s="155">
        <f t="shared" si="43"/>
        <v>0</v>
      </c>
      <c r="I549" s="90" t="s">
        <v>101</v>
      </c>
      <c r="J549" s="307"/>
      <c r="M549" s="100"/>
      <c r="V549" s="37"/>
      <c r="W549" s="37"/>
      <c r="X549" s="37"/>
    </row>
    <row r="550" spans="1:24" s="99" customFormat="1" ht="12.75">
      <c r="A550" s="190">
        <f t="shared" si="46"/>
        <v>308</v>
      </c>
      <c r="B550" s="193" t="s">
        <v>718</v>
      </c>
      <c r="C550" s="238"/>
      <c r="D550" s="256" t="s">
        <v>726</v>
      </c>
      <c r="E550" s="153" t="s">
        <v>403</v>
      </c>
      <c r="F550" s="7">
        <f>1.8+1.8+0.5+0.1</f>
        <v>4.199999999999999</v>
      </c>
      <c r="G550" s="285"/>
      <c r="H550" s="155">
        <f>F550*G550</f>
        <v>0</v>
      </c>
      <c r="I550" s="90" t="s">
        <v>101</v>
      </c>
      <c r="J550" s="307"/>
      <c r="M550" s="100"/>
      <c r="V550" s="37"/>
      <c r="W550" s="37"/>
      <c r="X550" s="37"/>
    </row>
    <row r="551" spans="1:24" s="99" customFormat="1" ht="12.75">
      <c r="A551" s="190">
        <f t="shared" si="46"/>
        <v>309</v>
      </c>
      <c r="B551" s="193" t="s">
        <v>728</v>
      </c>
      <c r="C551" s="238"/>
      <c r="D551" s="256" t="s">
        <v>727</v>
      </c>
      <c r="E551" s="153" t="s">
        <v>403</v>
      </c>
      <c r="F551" s="7">
        <v>0.68</v>
      </c>
      <c r="G551" s="285"/>
      <c r="H551" s="155">
        <f>F551*G551</f>
        <v>0</v>
      </c>
      <c r="I551" s="90" t="s">
        <v>101</v>
      </c>
      <c r="J551" s="307"/>
      <c r="M551" s="100"/>
      <c r="V551" s="37"/>
      <c r="W551" s="37"/>
      <c r="X551" s="37"/>
    </row>
    <row r="552" spans="1:24" s="99" customFormat="1" ht="12.75">
      <c r="A552" s="190">
        <f t="shared" si="46"/>
        <v>310</v>
      </c>
      <c r="B552" s="193" t="s">
        <v>865</v>
      </c>
      <c r="C552" s="238"/>
      <c r="D552" s="256" t="s">
        <v>926</v>
      </c>
      <c r="E552" s="153" t="s">
        <v>399</v>
      </c>
      <c r="F552" s="7">
        <v>1</v>
      </c>
      <c r="G552" s="285"/>
      <c r="H552" s="155">
        <f>F552*G552</f>
        <v>0</v>
      </c>
      <c r="I552" s="90" t="s">
        <v>101</v>
      </c>
      <c r="J552" s="307"/>
      <c r="M552" s="100"/>
      <c r="V552" s="37"/>
      <c r="W552" s="37"/>
      <c r="X552" s="37"/>
    </row>
    <row r="553" spans="1:24" s="99" customFormat="1" ht="12.75">
      <c r="A553" s="190">
        <f t="shared" si="46"/>
        <v>311</v>
      </c>
      <c r="B553" s="193" t="s">
        <v>866</v>
      </c>
      <c r="C553" s="238"/>
      <c r="D553" s="256" t="s">
        <v>867</v>
      </c>
      <c r="E553" s="153" t="s">
        <v>399</v>
      </c>
      <c r="F553" s="7">
        <v>1</v>
      </c>
      <c r="G553" s="285"/>
      <c r="H553" s="155">
        <f>F553*G553</f>
        <v>0</v>
      </c>
      <c r="I553" s="90" t="s">
        <v>101</v>
      </c>
      <c r="J553" s="307"/>
      <c r="M553" s="100"/>
      <c r="V553" s="37"/>
      <c r="W553" s="37"/>
      <c r="X553" s="37"/>
    </row>
    <row r="554" spans="1:24" s="99" customFormat="1" ht="12.75">
      <c r="A554" s="190">
        <f t="shared" si="46"/>
        <v>312</v>
      </c>
      <c r="B554" s="210" t="s">
        <v>241</v>
      </c>
      <c r="C554" s="151"/>
      <c r="D554" s="256" t="s">
        <v>381</v>
      </c>
      <c r="E554" s="153" t="s">
        <v>402</v>
      </c>
      <c r="F554" s="7">
        <v>1</v>
      </c>
      <c r="G554" s="285"/>
      <c r="H554" s="155">
        <f t="shared" si="43"/>
        <v>0</v>
      </c>
      <c r="I554" s="90" t="s">
        <v>101</v>
      </c>
      <c r="J554" s="307"/>
      <c r="V554" s="37"/>
      <c r="W554" s="37"/>
      <c r="X554" s="37"/>
    </row>
    <row r="555" spans="1:24" s="99" customFormat="1" ht="38.25">
      <c r="A555" s="190">
        <f t="shared" si="46"/>
        <v>313</v>
      </c>
      <c r="B555" s="193" t="s">
        <v>733</v>
      </c>
      <c r="C555" s="151"/>
      <c r="D555" s="271" t="s">
        <v>734</v>
      </c>
      <c r="E555" s="153" t="s">
        <v>402</v>
      </c>
      <c r="F555" s="7">
        <v>1</v>
      </c>
      <c r="G555" s="285"/>
      <c r="H555" s="155">
        <f t="shared" si="43"/>
        <v>0</v>
      </c>
      <c r="I555" s="90" t="s">
        <v>101</v>
      </c>
      <c r="J555" s="307"/>
      <c r="K555" s="230" t="s">
        <v>732</v>
      </c>
      <c r="V555" s="37"/>
      <c r="W555" s="37"/>
      <c r="X555" s="37"/>
    </row>
    <row r="556" spans="1:24" s="99" customFormat="1" ht="25.5">
      <c r="A556" s="190">
        <f t="shared" si="46"/>
        <v>314</v>
      </c>
      <c r="B556" s="193" t="s">
        <v>868</v>
      </c>
      <c r="C556" s="151"/>
      <c r="D556" s="183" t="s">
        <v>242</v>
      </c>
      <c r="E556" s="153" t="s">
        <v>399</v>
      </c>
      <c r="F556" s="7">
        <v>1</v>
      </c>
      <c r="G556" s="285"/>
      <c r="H556" s="155">
        <f>F556*G556</f>
        <v>0</v>
      </c>
      <c r="I556" s="90" t="s">
        <v>101</v>
      </c>
      <c r="J556" s="307"/>
      <c r="V556" s="37"/>
      <c r="W556" s="37"/>
      <c r="X556" s="37"/>
    </row>
    <row r="557" spans="1:11" s="99" customFormat="1" ht="12.75">
      <c r="A557" s="190">
        <f t="shared" si="46"/>
        <v>315</v>
      </c>
      <c r="B557" s="210">
        <v>4841731525</v>
      </c>
      <c r="C557" s="218" t="s">
        <v>2</v>
      </c>
      <c r="D557" s="214" t="s">
        <v>678</v>
      </c>
      <c r="E557" s="215" t="s">
        <v>402</v>
      </c>
      <c r="F557" s="4">
        <v>1</v>
      </c>
      <c r="G557" s="287"/>
      <c r="H557" s="217">
        <f t="shared" si="43"/>
        <v>0</v>
      </c>
      <c r="I557" s="36" t="s">
        <v>101</v>
      </c>
      <c r="J557" s="296"/>
      <c r="K557" s="99" t="s">
        <v>680</v>
      </c>
    </row>
    <row r="558" spans="1:11" s="99" customFormat="1" ht="12.75">
      <c r="A558" s="190">
        <f t="shared" si="46"/>
        <v>316</v>
      </c>
      <c r="B558" s="210" t="s">
        <v>735</v>
      </c>
      <c r="C558" s="218" t="s">
        <v>2</v>
      </c>
      <c r="D558" s="214" t="s">
        <v>980</v>
      </c>
      <c r="E558" s="215" t="s">
        <v>402</v>
      </c>
      <c r="F558" s="4">
        <v>1</v>
      </c>
      <c r="G558" s="287"/>
      <c r="H558" s="217">
        <f t="shared" si="43"/>
        <v>0</v>
      </c>
      <c r="I558" s="36" t="s">
        <v>101</v>
      </c>
      <c r="J558" s="296"/>
      <c r="K558" s="99" t="s">
        <v>681</v>
      </c>
    </row>
    <row r="559" spans="1:24" s="99" customFormat="1" ht="16.5">
      <c r="A559" s="190">
        <f t="shared" si="46"/>
        <v>317</v>
      </c>
      <c r="B559" s="193" t="s">
        <v>942</v>
      </c>
      <c r="C559" s="151" t="s">
        <v>3</v>
      </c>
      <c r="D559" s="152" t="s">
        <v>943</v>
      </c>
      <c r="E559" s="153" t="s">
        <v>402</v>
      </c>
      <c r="F559" s="7">
        <v>1</v>
      </c>
      <c r="G559" s="285"/>
      <c r="H559" s="155">
        <f t="shared" si="43"/>
        <v>0</v>
      </c>
      <c r="I559" s="267" t="s">
        <v>101</v>
      </c>
      <c r="J559" s="307"/>
      <c r="V559" s="37"/>
      <c r="W559" s="230"/>
      <c r="X559" s="37"/>
    </row>
    <row r="560" spans="1:9" ht="25.5">
      <c r="A560" s="190">
        <f t="shared" si="46"/>
        <v>318</v>
      </c>
      <c r="B560" s="181">
        <v>484813512</v>
      </c>
      <c r="C560" s="218" t="s">
        <v>2</v>
      </c>
      <c r="D560" s="219" t="s">
        <v>679</v>
      </c>
      <c r="E560" s="220" t="s">
        <v>402</v>
      </c>
      <c r="F560" s="4">
        <v>1</v>
      </c>
      <c r="G560" s="287"/>
      <c r="H560" s="221">
        <f t="shared" si="43"/>
        <v>0</v>
      </c>
      <c r="I560" s="90" t="s">
        <v>101</v>
      </c>
    </row>
    <row r="561" spans="1:9" ht="12.75">
      <c r="A561" s="190">
        <f t="shared" si="46"/>
        <v>319</v>
      </c>
      <c r="B561" s="181">
        <v>484813510</v>
      </c>
      <c r="C561" s="218" t="s">
        <v>2</v>
      </c>
      <c r="D561" s="219" t="s">
        <v>736</v>
      </c>
      <c r="E561" s="220" t="s">
        <v>402</v>
      </c>
      <c r="F561" s="4">
        <v>1</v>
      </c>
      <c r="G561" s="287"/>
      <c r="H561" s="221">
        <f t="shared" si="43"/>
        <v>0</v>
      </c>
      <c r="I561" s="90" t="s">
        <v>101</v>
      </c>
    </row>
    <row r="562" spans="1:9" ht="12.75">
      <c r="A562" s="190">
        <f t="shared" si="46"/>
        <v>320</v>
      </c>
      <c r="B562" s="181">
        <v>484813504</v>
      </c>
      <c r="C562" s="218" t="s">
        <v>2</v>
      </c>
      <c r="D562" s="219" t="s">
        <v>737</v>
      </c>
      <c r="E562" s="220" t="s">
        <v>399</v>
      </c>
      <c r="F562" s="4">
        <v>1</v>
      </c>
      <c r="G562" s="287"/>
      <c r="H562" s="221">
        <f t="shared" si="43"/>
        <v>0</v>
      </c>
      <c r="I562" s="90" t="s">
        <v>101</v>
      </c>
    </row>
    <row r="563" spans="1:9" ht="12.75">
      <c r="A563" s="180">
        <f t="shared" si="46"/>
        <v>321</v>
      </c>
      <c r="B563" s="181">
        <v>484813507</v>
      </c>
      <c r="C563" s="218" t="s">
        <v>2</v>
      </c>
      <c r="D563" s="219" t="s">
        <v>738</v>
      </c>
      <c r="E563" s="220" t="s">
        <v>403</v>
      </c>
      <c r="F563" s="4">
        <v>1</v>
      </c>
      <c r="G563" s="287"/>
      <c r="H563" s="221">
        <f t="shared" si="43"/>
        <v>0</v>
      </c>
      <c r="I563" s="90" t="s">
        <v>101</v>
      </c>
    </row>
    <row r="564" spans="1:11" ht="38.25">
      <c r="A564" s="180">
        <f>+A563+1</f>
        <v>322</v>
      </c>
      <c r="B564" s="181" t="s">
        <v>739</v>
      </c>
      <c r="C564" s="218" t="s">
        <v>2</v>
      </c>
      <c r="D564" s="219" t="s">
        <v>740</v>
      </c>
      <c r="E564" s="220" t="s">
        <v>403</v>
      </c>
      <c r="F564" s="4">
        <v>16</v>
      </c>
      <c r="G564" s="287"/>
      <c r="H564" s="221">
        <f t="shared" si="43"/>
        <v>0</v>
      </c>
      <c r="I564" s="90" t="s">
        <v>101</v>
      </c>
      <c r="K564" s="74" t="s">
        <v>741</v>
      </c>
    </row>
    <row r="565" spans="1:24" ht="12.75">
      <c r="A565" s="275">
        <f>+A564+1</f>
        <v>323</v>
      </c>
      <c r="B565" s="274" t="s">
        <v>944</v>
      </c>
      <c r="C565" s="276" t="s">
        <v>3</v>
      </c>
      <c r="D565" s="277" t="s">
        <v>945</v>
      </c>
      <c r="E565" s="278" t="s">
        <v>403</v>
      </c>
      <c r="F565" s="279">
        <v>16</v>
      </c>
      <c r="G565" s="294"/>
      <c r="H565" s="280">
        <f>F565*G565</f>
        <v>0</v>
      </c>
      <c r="I565" s="281" t="s">
        <v>101</v>
      </c>
      <c r="J565" s="308"/>
      <c r="V565" s="282"/>
      <c r="W565" s="282"/>
      <c r="X565" s="282"/>
    </row>
    <row r="566" spans="1:24" s="99" customFormat="1" ht="12.75">
      <c r="A566" s="190">
        <f t="shared" si="46"/>
        <v>324</v>
      </c>
      <c r="B566" s="193" t="s">
        <v>864</v>
      </c>
      <c r="C566" s="151"/>
      <c r="D566" s="256" t="s">
        <v>382</v>
      </c>
      <c r="E566" s="153" t="s">
        <v>399</v>
      </c>
      <c r="F566" s="7">
        <v>1</v>
      </c>
      <c r="G566" s="285"/>
      <c r="H566" s="155">
        <f t="shared" si="43"/>
        <v>0</v>
      </c>
      <c r="I566" s="90" t="s">
        <v>101</v>
      </c>
      <c r="J566" s="307"/>
      <c r="V566" s="37"/>
      <c r="W566" s="37"/>
      <c r="X566" s="37"/>
    </row>
    <row r="567" spans="1:24" s="99" customFormat="1" ht="13.5" customHeight="1">
      <c r="A567" s="190">
        <f t="shared" si="46"/>
        <v>325</v>
      </c>
      <c r="B567" s="193"/>
      <c r="C567" s="151"/>
      <c r="D567" s="256" t="s">
        <v>981</v>
      </c>
      <c r="E567" s="153" t="s">
        <v>74</v>
      </c>
      <c r="F567" s="7">
        <v>10</v>
      </c>
      <c r="G567" s="285"/>
      <c r="H567" s="155">
        <f t="shared" si="43"/>
        <v>0</v>
      </c>
      <c r="I567" s="90" t="s">
        <v>101</v>
      </c>
      <c r="J567" s="307"/>
      <c r="V567" s="37"/>
      <c r="W567" s="37"/>
      <c r="X567" s="37"/>
    </row>
    <row r="568" spans="1:24" s="99" customFormat="1" ht="12.75">
      <c r="A568" s="190">
        <f t="shared" si="46"/>
        <v>326</v>
      </c>
      <c r="B568" s="193"/>
      <c r="C568" s="151"/>
      <c r="D568" s="256" t="s">
        <v>863</v>
      </c>
      <c r="E568" s="153" t="s">
        <v>74</v>
      </c>
      <c r="F568" s="7">
        <v>14</v>
      </c>
      <c r="G568" s="285"/>
      <c r="H568" s="155">
        <f>F568*G568</f>
        <v>0</v>
      </c>
      <c r="I568" s="90" t="s">
        <v>101</v>
      </c>
      <c r="J568" s="307"/>
      <c r="V568" s="37"/>
      <c r="W568" s="37"/>
      <c r="X568" s="37"/>
    </row>
    <row r="569" spans="1:24" s="99" customFormat="1" ht="12.75">
      <c r="A569" s="190">
        <f t="shared" si="46"/>
        <v>327</v>
      </c>
      <c r="B569" s="193"/>
      <c r="C569" s="151"/>
      <c r="D569" s="256" t="s">
        <v>982</v>
      </c>
      <c r="E569" s="153" t="s">
        <v>74</v>
      </c>
      <c r="F569" s="7">
        <v>3</v>
      </c>
      <c r="G569" s="285"/>
      <c r="H569" s="155">
        <f>F569*G569</f>
        <v>0</v>
      </c>
      <c r="I569" s="90" t="s">
        <v>101</v>
      </c>
      <c r="J569" s="307"/>
      <c r="V569" s="37"/>
      <c r="W569" s="37"/>
      <c r="X569" s="37"/>
    </row>
    <row r="570" spans="1:10" s="99" customFormat="1" ht="13.5" thickBot="1">
      <c r="A570" s="190">
        <f t="shared" si="46"/>
        <v>328</v>
      </c>
      <c r="B570" s="187" t="s">
        <v>753</v>
      </c>
      <c r="C570" s="238"/>
      <c r="D570" s="152" t="s">
        <v>17</v>
      </c>
      <c r="E570" s="153" t="s">
        <v>408</v>
      </c>
      <c r="F570" s="7">
        <f>+H550+H551+H554+H555+H557+H558+H560+H562</f>
        <v>0</v>
      </c>
      <c r="G570" s="293"/>
      <c r="H570" s="262">
        <f>F570*G570</f>
        <v>0</v>
      </c>
      <c r="I570" s="36" t="s">
        <v>101</v>
      </c>
      <c r="J570" s="296"/>
    </row>
    <row r="571" spans="1:10" s="99" customFormat="1" ht="13.5" thickBot="1">
      <c r="A571" s="190"/>
      <c r="B571" s="210"/>
      <c r="C571" s="238"/>
      <c r="D571" s="162" t="s">
        <v>401</v>
      </c>
      <c r="E571" s="163"/>
      <c r="F571" s="270"/>
      <c r="G571" s="165"/>
      <c r="H571" s="203">
        <f>SUBTOTAL(9,H538:H570)</f>
        <v>0</v>
      </c>
      <c r="I571" s="36"/>
      <c r="J571" s="296"/>
    </row>
    <row r="572" spans="1:9" ht="12.75">
      <c r="A572" s="180"/>
      <c r="B572" s="181"/>
      <c r="C572" s="182"/>
      <c r="D572" s="204"/>
      <c r="E572" s="168"/>
      <c r="F572" s="64"/>
      <c r="G572" s="107"/>
      <c r="H572" s="205"/>
      <c r="I572" s="90"/>
    </row>
    <row r="573" spans="1:9" ht="16.5">
      <c r="A573" s="180"/>
      <c r="B573" s="181"/>
      <c r="C573" s="272">
        <v>4</v>
      </c>
      <c r="D573" s="142" t="s">
        <v>119</v>
      </c>
      <c r="E573" s="142"/>
      <c r="F573" s="206"/>
      <c r="G573" s="142"/>
      <c r="H573" s="142"/>
      <c r="I573" s="90"/>
    </row>
    <row r="574" spans="1:9" ht="54" customHeight="1">
      <c r="A574" s="180"/>
      <c r="B574" s="181"/>
      <c r="C574" s="176"/>
      <c r="D574" s="316" t="s">
        <v>49</v>
      </c>
      <c r="E574" s="316"/>
      <c r="F574" s="316"/>
      <c r="G574" s="235"/>
      <c r="H574" s="235"/>
      <c r="I574" s="90"/>
    </row>
    <row r="575" spans="1:9" ht="12.75">
      <c r="A575" s="180">
        <f>A570+1</f>
        <v>329</v>
      </c>
      <c r="B575" s="181"/>
      <c r="C575" s="182"/>
      <c r="D575" s="183" t="s">
        <v>46</v>
      </c>
      <c r="E575" s="184" t="s">
        <v>51</v>
      </c>
      <c r="F575" s="3">
        <v>1</v>
      </c>
      <c r="G575" s="185">
        <f>+ESA_ESI!H43</f>
        <v>0</v>
      </c>
      <c r="H575" s="186">
        <f>F575*G575</f>
        <v>0</v>
      </c>
      <c r="I575" s="90" t="s">
        <v>101</v>
      </c>
    </row>
    <row r="576" spans="1:9" ht="13.5" thickBot="1">
      <c r="A576" s="180">
        <f>A575+1</f>
        <v>330</v>
      </c>
      <c r="B576" s="181"/>
      <c r="C576" s="182"/>
      <c r="D576" s="183" t="s">
        <v>47</v>
      </c>
      <c r="E576" s="184" t="s">
        <v>51</v>
      </c>
      <c r="F576" s="3">
        <v>1</v>
      </c>
      <c r="G576" s="185">
        <f>+ESA_ESI!H56</f>
        <v>0</v>
      </c>
      <c r="H576" s="186">
        <f>F576*G576</f>
        <v>0</v>
      </c>
      <c r="I576" s="90" t="s">
        <v>101</v>
      </c>
    </row>
    <row r="577" spans="1:8" ht="13.5" thickBot="1">
      <c r="A577" s="180"/>
      <c r="B577" s="181"/>
      <c r="C577" s="182"/>
      <c r="D577" s="162" t="s">
        <v>401</v>
      </c>
      <c r="E577" s="163"/>
      <c r="F577" s="223"/>
      <c r="G577" s="224"/>
      <c r="H577" s="203">
        <f>SUBTOTAL(9,H575:H576)</f>
        <v>0</v>
      </c>
    </row>
    <row r="578" spans="1:9" ht="12.75">
      <c r="A578" s="180"/>
      <c r="B578" s="181"/>
      <c r="C578" s="182"/>
      <c r="D578" s="204"/>
      <c r="E578" s="168"/>
      <c r="F578" s="64"/>
      <c r="G578" s="107"/>
      <c r="H578" s="205"/>
      <c r="I578" s="90"/>
    </row>
    <row r="579" spans="1:9" ht="16.5">
      <c r="A579" s="180"/>
      <c r="B579" s="181"/>
      <c r="C579" s="272">
        <v>5</v>
      </c>
      <c r="D579" s="142" t="s">
        <v>120</v>
      </c>
      <c r="E579" s="142"/>
      <c r="F579" s="206"/>
      <c r="G579" s="142"/>
      <c r="H579" s="142"/>
      <c r="I579" s="90"/>
    </row>
    <row r="580" spans="1:9" ht="59.25" customHeight="1">
      <c r="A580" s="180"/>
      <c r="B580" s="181"/>
      <c r="C580" s="176"/>
      <c r="D580" s="316" t="s">
        <v>50</v>
      </c>
      <c r="E580" s="316"/>
      <c r="F580" s="316"/>
      <c r="G580" s="235"/>
      <c r="H580" s="235"/>
      <c r="I580" s="90"/>
    </row>
    <row r="581" spans="1:9" ht="12.75">
      <c r="A581" s="180">
        <f>+A576+1</f>
        <v>331</v>
      </c>
      <c r="B581" s="181"/>
      <c r="C581" s="182"/>
      <c r="D581" s="183" t="s">
        <v>93</v>
      </c>
      <c r="E581" s="184" t="s">
        <v>51</v>
      </c>
      <c r="F581" s="3">
        <v>1</v>
      </c>
      <c r="G581" s="185">
        <f>+ESA_ESI!H74</f>
        <v>0</v>
      </c>
      <c r="H581" s="186">
        <f>F581*G581</f>
        <v>0</v>
      </c>
      <c r="I581" s="90" t="s">
        <v>101</v>
      </c>
    </row>
    <row r="582" spans="1:9" ht="13.5" thickBot="1">
      <c r="A582" s="180">
        <f>A581+1</f>
        <v>332</v>
      </c>
      <c r="B582" s="181"/>
      <c r="C582" s="182"/>
      <c r="D582" s="183" t="s">
        <v>48</v>
      </c>
      <c r="E582" s="184" t="s">
        <v>51</v>
      </c>
      <c r="F582" s="3">
        <v>1</v>
      </c>
      <c r="G582" s="185">
        <f>+ESA_ESI!H80</f>
        <v>0</v>
      </c>
      <c r="H582" s="186">
        <f>F582*G582</f>
        <v>0</v>
      </c>
      <c r="I582" s="90" t="s">
        <v>101</v>
      </c>
    </row>
    <row r="583" spans="1:11" ht="13.5" thickBot="1">
      <c r="A583" s="180"/>
      <c r="B583" s="181"/>
      <c r="C583" s="182"/>
      <c r="D583" s="162" t="s">
        <v>401</v>
      </c>
      <c r="E583" s="163"/>
      <c r="F583" s="223"/>
      <c r="G583" s="224"/>
      <c r="H583" s="203">
        <f>SUBTOTAL(9,H581:H582)</f>
        <v>0</v>
      </c>
      <c r="J583" s="300"/>
      <c r="K583" s="31"/>
    </row>
    <row r="584" spans="1:11" ht="14.25" customHeight="1">
      <c r="A584" s="180"/>
      <c r="B584" s="181"/>
      <c r="C584" s="182"/>
      <c r="D584" s="204"/>
      <c r="E584" s="168"/>
      <c r="F584" s="64"/>
      <c r="G584" s="107"/>
      <c r="H584" s="205"/>
      <c r="I584" s="90"/>
      <c r="J584" s="300"/>
      <c r="K584" s="31"/>
    </row>
    <row r="585" spans="3:11" ht="16.5">
      <c r="C585" s="176">
        <v>6</v>
      </c>
      <c r="D585" s="142" t="s">
        <v>8</v>
      </c>
      <c r="E585" s="142"/>
      <c r="F585" s="206"/>
      <c r="G585" s="142"/>
      <c r="H585" s="142"/>
      <c r="J585" s="300"/>
      <c r="K585" s="31"/>
    </row>
    <row r="586" spans="1:11" ht="13.5" thickBot="1">
      <c r="A586" s="180">
        <f>A582+1</f>
        <v>333</v>
      </c>
      <c r="B586" s="187" t="s">
        <v>861</v>
      </c>
      <c r="C586" s="182" t="s">
        <v>985</v>
      </c>
      <c r="D586" s="183" t="s">
        <v>862</v>
      </c>
      <c r="E586" s="184" t="s">
        <v>402</v>
      </c>
      <c r="F586" s="3">
        <v>1</v>
      </c>
      <c r="G586" s="285"/>
      <c r="H586" s="186">
        <f>F586*G586</f>
        <v>0</v>
      </c>
      <c r="I586" s="90" t="s">
        <v>104</v>
      </c>
      <c r="J586" s="300"/>
      <c r="K586" s="31"/>
    </row>
    <row r="587" spans="1:11" ht="13.5" thickBot="1">
      <c r="A587" s="180"/>
      <c r="B587" s="181"/>
      <c r="D587" s="162" t="s">
        <v>401</v>
      </c>
      <c r="E587" s="163"/>
      <c r="F587" s="223"/>
      <c r="G587" s="224"/>
      <c r="H587" s="273">
        <f>SUBTOTAL(9,H586:H586)</f>
        <v>0</v>
      </c>
      <c r="I587" s="90"/>
      <c r="J587" s="300"/>
      <c r="K587" s="31"/>
    </row>
    <row r="588" spans="1:11" ht="12.75">
      <c r="A588" s="180"/>
      <c r="B588" s="181"/>
      <c r="D588" s="204"/>
      <c r="E588" s="168"/>
      <c r="F588" s="64"/>
      <c r="G588" s="107"/>
      <c r="H588" s="205"/>
      <c r="I588" s="90"/>
      <c r="J588" s="300"/>
      <c r="K588" s="31"/>
    </row>
  </sheetData>
  <sheetProtection password="C778" sheet="1" selectLockedCells="1"/>
  <mergeCells count="39">
    <mergeCell ref="D8:H8"/>
    <mergeCell ref="D574:F574"/>
    <mergeCell ref="D360:F360"/>
    <mergeCell ref="D332:F332"/>
    <mergeCell ref="D469:F469"/>
    <mergeCell ref="D495:F495"/>
    <mergeCell ref="D107:H107"/>
    <mergeCell ref="D323:F323"/>
    <mergeCell ref="D436:F436"/>
    <mergeCell ref="D296:F296"/>
    <mergeCell ref="D65:H65"/>
    <mergeCell ref="D76:H76"/>
    <mergeCell ref="D64:H64"/>
    <mergeCell ref="D67:H67"/>
    <mergeCell ref="D6:H6"/>
    <mergeCell ref="D7:H7"/>
    <mergeCell ref="D62:H62"/>
    <mergeCell ref="D63:H63"/>
    <mergeCell ref="G43:H43"/>
    <mergeCell ref="G34:H34"/>
    <mergeCell ref="D203:F203"/>
    <mergeCell ref="D68:H68"/>
    <mergeCell ref="D71:H71"/>
    <mergeCell ref="D73:H73"/>
    <mergeCell ref="D111:H111"/>
    <mergeCell ref="D89:H89"/>
    <mergeCell ref="D69:H69"/>
    <mergeCell ref="D93:H93"/>
    <mergeCell ref="D105:H105"/>
    <mergeCell ref="D9:H9"/>
    <mergeCell ref="D580:F580"/>
    <mergeCell ref="D66:H66"/>
    <mergeCell ref="D537:F537"/>
    <mergeCell ref="D78:H78"/>
    <mergeCell ref="D79:H79"/>
    <mergeCell ref="D75:H75"/>
    <mergeCell ref="D181:F181"/>
    <mergeCell ref="D399:F399"/>
    <mergeCell ref="D417:F417"/>
  </mergeCells>
  <conditionalFormatting sqref="D61 E69">
    <cfRule type="expression" priority="105" dxfId="0" stopIfTrue="1">
      <formula>ISTEXT(D61)</formula>
    </cfRule>
  </conditionalFormatting>
  <conditionalFormatting sqref="F69:H69">
    <cfRule type="expression" priority="106" dxfId="0" stopIfTrue="1">
      <formula>ISNUMBER(F69)</formula>
    </cfRule>
  </conditionalFormatting>
  <hyperlinks>
    <hyperlink ref="D14" location="Kapitola_2" display="Kapitola_2"/>
    <hyperlink ref="D13" location="Kapitola_1" display="Kapitola_1"/>
    <hyperlink ref="D150:H150" location="Rekapitulace_2" display="Stropní deska v úrovni terénu"/>
    <hyperlink ref="D32" location="Dokoncovaci_prace" display="Dokoncovaci_prace"/>
    <hyperlink ref="D111:H111" location="Rekapitulace_1" display="Bourací a přípravné práce"/>
    <hyperlink ref="D180:H180" location="Rekapitulace_2b" display="Živičné izolace"/>
    <hyperlink ref="D202:H202" location="Rekapitulace_2c" display="Povlakové izolace proti vodě"/>
    <hyperlink ref="D398:H398" location="Rekapitulace_2d" display="Izolace tepelné"/>
    <hyperlink ref="D416:H416" location="Rekapitulace_2e" display="Kanalizace"/>
    <hyperlink ref="D435:H435" location="Rekapitulace_2f" display="Konstrukce klempířské"/>
    <hyperlink ref="D16" location="Kapitola_2b" display="Kapitola_2b"/>
    <hyperlink ref="D17" location="Kapitola_2c" display="Kapitola_2c"/>
    <hyperlink ref="D24" location="Kapitola_2d" display="Kapitola_2d"/>
    <hyperlink ref="D25" location="Kapitola_2e" display="Kapitola_2e"/>
    <hyperlink ref="D26" location="Kapitola_2f" display="Kapitola_2f"/>
    <hyperlink ref="D30" location="Kapitola_2g" display="Kapitola_2g"/>
    <hyperlink ref="D573:H573" location="Rekapitulace_2g" display="Elektroinstalace - silnoproud"/>
    <hyperlink ref="D468:H468" location="Rekapitulace_2i" display="Vzduchotechnika"/>
    <hyperlink ref="D579:H579" location="Rekapitulace_2h" display="Elektroinstalace - slaboproud"/>
    <hyperlink ref="D295:H295" location="Rekapitulace_2j" display="Konstrukce truhlářské"/>
    <hyperlink ref="D322:H322" location="Rekapitulace_2k" display="Konstrukce zámečnické"/>
    <hyperlink ref="D331:H331" location="Rekapitulace_2l" display="Podlahy z dlaždic"/>
    <hyperlink ref="D359:H359" location="Rekapitulace_2m" display="Podlahy povlakové"/>
    <hyperlink ref="D31" location="Kapitola_2h" display="Kapitola_2h"/>
    <hyperlink ref="D27" location="Kapitola_2i" display="Kapitola_2i"/>
    <hyperlink ref="D18" location="Kapitola_2j" display="Kapitola_2j"/>
    <hyperlink ref="D19" location="Kapitola_2k" display="Kapitola_2k"/>
    <hyperlink ref="D20" location="Kapitola_2l" display="Kapitola_2l"/>
    <hyperlink ref="D21" location="Kapitola_2m" display="Kapitola_2m"/>
    <hyperlink ref="D585:H585" location="Rekapitulace_Dokončovací_práce" display="Dokončovací práce"/>
    <hyperlink ref="D494:H494" location="Rekapitulace_2h" display="Elektroinstalace - slaboproud"/>
    <hyperlink ref="D536:H536" location="Rekapitulace_2h" display="Elektroinstalace - slaboproud"/>
    <hyperlink ref="D379:H379" location="Rekapitulace_2d" display="Izolace tepelné"/>
    <hyperlink ref="K281" r:id="rId1" display="https://www.siko.cz/lista-ukoncovaci-l-hlinik-10-mm-250-cm-al10250/p/AL10250?gclid=EAIaIQobChMIsYDCpJ7F6QIVie3tCh0zFQanEAAYAyAAEgKzu_D_BwE"/>
    <hyperlink ref="K280" r:id="rId2" display="https://www.siko.cz/lista-ukoncovaci-l-kartacovana-nerez-10-mm-250-cm-nrzk10250/p/NRZK10250"/>
    <hyperlink ref="K325" r:id="rId3" display="https://online.ferona.cz/detail/22304/profil-rovnoramenny-l-z-konstrukcni-oceli-valcovane-za-tepla-en-10056-l-50x50x4"/>
    <hyperlink ref="K375" r:id="rId4" display="https://www.floorwood.cz/prechodova-lista-sroubovaci-obla-stribrna-e01/"/>
    <hyperlink ref="K411" r:id="rId5" display="https://ok-levne.cz/hl138-podomitkovy-sifon-ke-klimatizacnim-jednotkam-dn32-100x100mm.html"/>
    <hyperlink ref="K438" r:id="rId6" display="https://www.siko.cz/umyvadlo-jika-lyra-plus-60x49-cm-otvor-pro-baterii-uprostred-h8143830001041/p/1438.3.000.104.1"/>
    <hyperlink ref="K447" r:id="rId7" display="https://www.ravak.cz/cz/sprchove-dvere-brilliant-bsd2~1"/>
    <hyperlink ref="K318" r:id="rId8" display="https://www.svet-koupelny.cz/keramia-fresh/zoja-keramia-fresh-galerka-s-halogenovym-osvetlenim-60x60x14cm-dub-platin-lev-45027/aqualine/"/>
    <hyperlink ref="K316" r:id="rId9" display="https://www.datart.cz/Vestavna-trouba-MORA-VT-433-BW.html?gclid=EAIaIQobChMIpMnpia_H6QIVGofVCh2towCrEAAYASAAEgKGBfD_BwE"/>
    <hyperlink ref="K315" r:id="rId10" display="https://www.mall.cz/plynove-varne-desky/concept-pdv7460bc?gclid=EAIaIQobChMI0evMsq_H6QIVgYxRCh0KAAVIEAAYASAAEgLB8fD_BwE"/>
    <hyperlink ref="K483" r:id="rId11" display="https://www.ventishop.cz/ventilator-do-potrubi-tt-125/"/>
    <hyperlink ref="D84" location="Doplňky_dodavatele" display="Doplňky dodavatele"/>
    <hyperlink ref="K521" r:id="rId12" display="https://www.heatshop.cz/Elektricka-topna-patrona-300W-termostat-d743.htm"/>
  </hyperlinks>
  <printOptions horizontalCentered="1"/>
  <pageMargins left="0.3937007874015748" right="0.3937007874015748" top="0.7874015748031497" bottom="0.7874015748031497" header="0.3937007874015748" footer="0.3937007874015748"/>
  <pageSetup fitToHeight="0" fitToWidth="1" horizontalDpi="600" verticalDpi="600" orientation="portrait" paperSize="9" scale="66" r:id="rId13"/>
  <headerFooter alignWithMargins="0">
    <oddFooter>&amp;CStránka &amp;P z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96"/>
  <sheetViews>
    <sheetView workbookViewId="0" topLeftCell="A1">
      <selection activeCell="C36" sqref="C36"/>
    </sheetView>
  </sheetViews>
  <sheetFormatPr defaultColWidth="9.00390625" defaultRowHeight="12.75"/>
  <cols>
    <col min="1" max="1" width="4.75390625" style="2" customWidth="1"/>
    <col min="2" max="2" width="11.875" style="2" customWidth="1"/>
    <col min="3" max="3" width="44.125" style="0" customWidth="1"/>
    <col min="4" max="4" width="4.625" style="0" customWidth="1"/>
    <col min="5" max="5" width="5.625" style="0" customWidth="1"/>
    <col min="6" max="6" width="9.875" style="0" customWidth="1"/>
    <col min="7" max="7" width="10.25390625" style="0" customWidth="1"/>
    <col min="8" max="8" width="10.375" style="0" customWidth="1"/>
    <col min="9" max="9" width="2.75390625" style="0" customWidth="1"/>
    <col min="10" max="10" width="9.00390625" style="0" hidden="1" customWidth="1"/>
  </cols>
  <sheetData>
    <row r="1" spans="1:10" s="1" customFormat="1" ht="21" customHeight="1">
      <c r="A1" s="8"/>
      <c r="B1" s="8"/>
      <c r="C1" s="338" t="s">
        <v>665</v>
      </c>
      <c r="D1" s="338"/>
      <c r="E1" s="339"/>
      <c r="F1" s="339"/>
      <c r="G1" s="339"/>
      <c r="H1" s="339"/>
      <c r="I1" s="339"/>
      <c r="J1" s="339"/>
    </row>
    <row r="2" spans="1:3" s="1" customFormat="1" ht="24" customHeight="1">
      <c r="A2" s="9"/>
      <c r="B2" s="9"/>
      <c r="C2" s="10" t="s">
        <v>54</v>
      </c>
    </row>
    <row r="3" spans="1:3" s="1" customFormat="1" ht="16.5" customHeight="1">
      <c r="A3" s="9"/>
      <c r="B3" s="9"/>
      <c r="C3" s="11" t="s">
        <v>55</v>
      </c>
    </row>
    <row r="4" spans="1:10" s="1" customFormat="1" ht="11.25">
      <c r="A4" s="9"/>
      <c r="B4" s="9" t="s">
        <v>56</v>
      </c>
      <c r="C4" s="12" t="s">
        <v>57</v>
      </c>
      <c r="E4" s="9" t="s">
        <v>405</v>
      </c>
      <c r="F4" s="9" t="s">
        <v>58</v>
      </c>
      <c r="G4" s="9" t="s">
        <v>59</v>
      </c>
      <c r="H4" s="9" t="s">
        <v>406</v>
      </c>
      <c r="I4" s="9"/>
      <c r="J4" s="1" t="s">
        <v>666</v>
      </c>
    </row>
    <row r="5" spans="1:10" s="1" customFormat="1" ht="14.1" customHeight="1">
      <c r="A5" s="9">
        <v>1</v>
      </c>
      <c r="B5" s="9">
        <v>210201064</v>
      </c>
      <c r="C5" s="1" t="s">
        <v>667</v>
      </c>
      <c r="D5" s="1" t="s">
        <v>402</v>
      </c>
      <c r="E5" s="1">
        <v>1</v>
      </c>
      <c r="F5" s="309"/>
      <c r="G5" s="309"/>
      <c r="H5" s="13">
        <f>(F5+G5)*E5</f>
        <v>0</v>
      </c>
      <c r="I5" s="13" t="s">
        <v>101</v>
      </c>
      <c r="J5" s="1">
        <f>E5*F5</f>
        <v>0</v>
      </c>
    </row>
    <row r="6" spans="1:10" s="1" customFormat="1" ht="14.1" customHeight="1">
      <c r="A6" s="9">
        <f aca="true" t="shared" si="0" ref="A6:A42">A5+1</f>
        <v>2</v>
      </c>
      <c r="B6" s="9">
        <v>210201064</v>
      </c>
      <c r="C6" s="1" t="s">
        <v>60</v>
      </c>
      <c r="D6" s="1" t="s">
        <v>402</v>
      </c>
      <c r="E6" s="1">
        <v>8</v>
      </c>
      <c r="F6" s="309"/>
      <c r="G6" s="309"/>
      <c r="H6" s="13">
        <f aca="true" t="shared" si="1" ref="H6:H42">(F6+G6)*E6</f>
        <v>0</v>
      </c>
      <c r="I6" s="13" t="s">
        <v>101</v>
      </c>
      <c r="J6" s="1">
        <f aca="true" t="shared" si="2" ref="J6:J42">E6*F6</f>
        <v>0</v>
      </c>
    </row>
    <row r="7" spans="1:10" s="1" customFormat="1" ht="14.1" customHeight="1">
      <c r="A7" s="9">
        <f t="shared" si="0"/>
        <v>3</v>
      </c>
      <c r="B7" s="9">
        <v>210201064</v>
      </c>
      <c r="C7" s="1" t="s">
        <v>668</v>
      </c>
      <c r="D7" s="1" t="s">
        <v>402</v>
      </c>
      <c r="E7" s="1">
        <v>1</v>
      </c>
      <c r="F7" s="309"/>
      <c r="G7" s="309"/>
      <c r="H7" s="13">
        <f t="shared" si="1"/>
        <v>0</v>
      </c>
      <c r="I7" s="13" t="s">
        <v>101</v>
      </c>
      <c r="J7" s="1">
        <f t="shared" si="2"/>
        <v>0</v>
      </c>
    </row>
    <row r="8" spans="1:9" s="1" customFormat="1" ht="14.1" customHeight="1">
      <c r="A8" s="9">
        <f t="shared" si="0"/>
        <v>4</v>
      </c>
      <c r="B8" s="9">
        <v>210201064</v>
      </c>
      <c r="C8" s="1" t="s">
        <v>669</v>
      </c>
      <c r="D8" s="1" t="s">
        <v>402</v>
      </c>
      <c r="E8" s="1">
        <v>2</v>
      </c>
      <c r="F8" s="309"/>
      <c r="G8" s="309"/>
      <c r="H8" s="13">
        <f t="shared" si="1"/>
        <v>0</v>
      </c>
      <c r="I8" s="13" t="s">
        <v>101</v>
      </c>
    </row>
    <row r="9" spans="1:10" s="1" customFormat="1" ht="14.1" customHeight="1">
      <c r="A9" s="9">
        <f t="shared" si="0"/>
        <v>5</v>
      </c>
      <c r="B9" s="9">
        <v>210111011</v>
      </c>
      <c r="C9" s="1" t="s">
        <v>62</v>
      </c>
      <c r="D9" s="1" t="s">
        <v>402</v>
      </c>
      <c r="E9" s="1">
        <v>45</v>
      </c>
      <c r="F9" s="309"/>
      <c r="G9" s="309"/>
      <c r="H9" s="13">
        <f t="shared" si="1"/>
        <v>0</v>
      </c>
      <c r="I9" s="13" t="s">
        <v>101</v>
      </c>
      <c r="J9" s="1">
        <f t="shared" si="2"/>
        <v>0</v>
      </c>
    </row>
    <row r="10" spans="1:9" s="1" customFormat="1" ht="14.1" customHeight="1">
      <c r="A10" s="9">
        <f t="shared" si="0"/>
        <v>6</v>
      </c>
      <c r="B10" s="9">
        <v>210111011</v>
      </c>
      <c r="C10" s="1" t="s">
        <v>63</v>
      </c>
      <c r="D10" s="1" t="s">
        <v>402</v>
      </c>
      <c r="E10" s="1">
        <v>4</v>
      </c>
      <c r="F10" s="309"/>
      <c r="G10" s="309"/>
      <c r="H10" s="13">
        <f t="shared" si="1"/>
        <v>0</v>
      </c>
      <c r="I10" s="13" t="s">
        <v>101</v>
      </c>
    </row>
    <row r="11" spans="1:10" s="1" customFormat="1" ht="14.1" customHeight="1">
      <c r="A11" s="9">
        <f t="shared" si="0"/>
        <v>7</v>
      </c>
      <c r="B11" s="9">
        <v>210110001</v>
      </c>
      <c r="C11" s="1" t="s">
        <v>64</v>
      </c>
      <c r="D11" s="1" t="s">
        <v>402</v>
      </c>
      <c r="E11" s="1">
        <v>4</v>
      </c>
      <c r="F11" s="309"/>
      <c r="G11" s="309"/>
      <c r="H11" s="13">
        <f t="shared" si="1"/>
        <v>0</v>
      </c>
      <c r="I11" s="13" t="s">
        <v>101</v>
      </c>
      <c r="J11" s="1">
        <f t="shared" si="2"/>
        <v>0</v>
      </c>
    </row>
    <row r="12" spans="1:10" s="1" customFormat="1" ht="14.1" customHeight="1">
      <c r="A12" s="9">
        <f t="shared" si="0"/>
        <v>8</v>
      </c>
      <c r="B12" s="9">
        <v>210110003</v>
      </c>
      <c r="C12" s="1" t="s">
        <v>670</v>
      </c>
      <c r="D12" s="1" t="s">
        <v>402</v>
      </c>
      <c r="E12" s="1">
        <v>2</v>
      </c>
      <c r="F12" s="309"/>
      <c r="G12" s="309"/>
      <c r="H12" s="13">
        <f t="shared" si="1"/>
        <v>0</v>
      </c>
      <c r="I12" s="13" t="s">
        <v>101</v>
      </c>
      <c r="J12" s="1">
        <f t="shared" si="2"/>
        <v>0</v>
      </c>
    </row>
    <row r="13" spans="1:10" s="1" customFormat="1" ht="14.1" customHeight="1">
      <c r="A13" s="9">
        <f t="shared" si="0"/>
        <v>9</v>
      </c>
      <c r="B13" s="9">
        <v>210110045</v>
      </c>
      <c r="C13" s="1" t="s">
        <v>243</v>
      </c>
      <c r="D13" s="1" t="s">
        <v>402</v>
      </c>
      <c r="E13" s="1">
        <v>8</v>
      </c>
      <c r="F13" s="309"/>
      <c r="G13" s="309"/>
      <c r="H13" s="13">
        <f>(F13+G13)*E13</f>
        <v>0</v>
      </c>
      <c r="I13" s="13" t="s">
        <v>101</v>
      </c>
      <c r="J13" s="1">
        <f t="shared" si="2"/>
        <v>0</v>
      </c>
    </row>
    <row r="14" spans="1:9" s="1" customFormat="1" ht="14.1" customHeight="1">
      <c r="A14" s="9">
        <f t="shared" si="0"/>
        <v>10</v>
      </c>
      <c r="B14" s="9">
        <v>210110046</v>
      </c>
      <c r="C14" s="1" t="s">
        <v>671</v>
      </c>
      <c r="D14" s="1" t="s">
        <v>402</v>
      </c>
      <c r="E14" s="1">
        <v>5</v>
      </c>
      <c r="F14" s="309"/>
      <c r="G14" s="309"/>
      <c r="H14" s="13">
        <f>(F14+G14)*E14</f>
        <v>0</v>
      </c>
      <c r="I14" s="13" t="s">
        <v>101</v>
      </c>
    </row>
    <row r="15" spans="1:9" s="1" customFormat="1" ht="14.1" customHeight="1">
      <c r="A15" s="9">
        <f t="shared" si="0"/>
        <v>11</v>
      </c>
      <c r="B15" s="9">
        <v>210150171</v>
      </c>
      <c r="C15" s="1" t="s">
        <v>244</v>
      </c>
      <c r="D15" s="1" t="s">
        <v>402</v>
      </c>
      <c r="E15" s="1">
        <v>1</v>
      </c>
      <c r="F15" s="309"/>
      <c r="G15" s="309"/>
      <c r="H15" s="13">
        <f>(F15+G15)*E15</f>
        <v>0</v>
      </c>
      <c r="I15" s="13" t="s">
        <v>101</v>
      </c>
    </row>
    <row r="16" spans="1:9" s="1" customFormat="1" ht="14.1" customHeight="1">
      <c r="A16" s="9">
        <f t="shared" si="0"/>
        <v>12</v>
      </c>
      <c r="B16" s="9">
        <v>210110047</v>
      </c>
      <c r="C16" s="1" t="s">
        <v>672</v>
      </c>
      <c r="D16" s="1" t="s">
        <v>402</v>
      </c>
      <c r="E16" s="1">
        <v>3</v>
      </c>
      <c r="F16" s="309"/>
      <c r="G16" s="309"/>
      <c r="H16" s="13">
        <f>(F16+G16)*E16</f>
        <v>0</v>
      </c>
      <c r="I16" s="13" t="s">
        <v>101</v>
      </c>
    </row>
    <row r="17" spans="1:10" s="1" customFormat="1" ht="14.1" customHeight="1">
      <c r="A17" s="9">
        <f t="shared" si="0"/>
        <v>13</v>
      </c>
      <c r="B17" s="9" t="s">
        <v>61</v>
      </c>
      <c r="C17" s="1" t="s">
        <v>65</v>
      </c>
      <c r="D17" s="1" t="s">
        <v>402</v>
      </c>
      <c r="E17" s="1">
        <v>34</v>
      </c>
      <c r="F17" s="309"/>
      <c r="G17" s="309"/>
      <c r="H17" s="13">
        <f t="shared" si="1"/>
        <v>0</v>
      </c>
      <c r="I17" s="13" t="s">
        <v>101</v>
      </c>
      <c r="J17" s="1">
        <f t="shared" si="2"/>
        <v>0</v>
      </c>
    </row>
    <row r="18" spans="1:10" s="1" customFormat="1" ht="14.1" customHeight="1">
      <c r="A18" s="9">
        <f t="shared" si="0"/>
        <v>14</v>
      </c>
      <c r="B18" s="9" t="s">
        <v>61</v>
      </c>
      <c r="C18" s="1" t="s">
        <v>66</v>
      </c>
      <c r="D18" s="1" t="s">
        <v>402</v>
      </c>
      <c r="E18" s="1">
        <v>9</v>
      </c>
      <c r="F18" s="309"/>
      <c r="G18" s="309"/>
      <c r="H18" s="13">
        <f t="shared" si="1"/>
        <v>0</v>
      </c>
      <c r="I18" s="13" t="s">
        <v>101</v>
      </c>
      <c r="J18" s="1">
        <f t="shared" si="2"/>
        <v>0</v>
      </c>
    </row>
    <row r="19" spans="1:13" s="1" customFormat="1" ht="14.1" customHeight="1">
      <c r="A19" s="9">
        <f t="shared" si="0"/>
        <v>15</v>
      </c>
      <c r="B19" s="9" t="s">
        <v>61</v>
      </c>
      <c r="C19" s="14" t="s">
        <v>245</v>
      </c>
      <c r="D19" s="1" t="s">
        <v>402</v>
      </c>
      <c r="E19" s="14">
        <v>3</v>
      </c>
      <c r="F19" s="309"/>
      <c r="G19" s="309"/>
      <c r="H19" s="13">
        <f t="shared" si="1"/>
        <v>0</v>
      </c>
      <c r="I19" s="13" t="s">
        <v>101</v>
      </c>
      <c r="J19" s="1">
        <f t="shared" si="2"/>
        <v>0</v>
      </c>
      <c r="M19" s="14"/>
    </row>
    <row r="20" spans="1:13" s="1" customFormat="1" ht="14.1" customHeight="1">
      <c r="A20" s="9">
        <f t="shared" si="0"/>
        <v>16</v>
      </c>
      <c r="B20" s="9" t="s">
        <v>61</v>
      </c>
      <c r="C20" s="14" t="s">
        <v>673</v>
      </c>
      <c r="D20" s="1" t="s">
        <v>402</v>
      </c>
      <c r="E20" s="14">
        <v>3</v>
      </c>
      <c r="F20" s="309"/>
      <c r="G20" s="309"/>
      <c r="H20" s="13">
        <f t="shared" si="1"/>
        <v>0</v>
      </c>
      <c r="I20" s="13" t="s">
        <v>101</v>
      </c>
      <c r="M20" s="14"/>
    </row>
    <row r="21" spans="1:10" s="1" customFormat="1" ht="14.1" customHeight="1">
      <c r="A21" s="9">
        <f t="shared" si="0"/>
        <v>17</v>
      </c>
      <c r="B21" s="9">
        <v>210220321</v>
      </c>
      <c r="C21" s="1" t="s">
        <v>122</v>
      </c>
      <c r="D21" s="1" t="s">
        <v>402</v>
      </c>
      <c r="E21" s="1">
        <v>3</v>
      </c>
      <c r="F21" s="309"/>
      <c r="G21" s="309"/>
      <c r="H21" s="13">
        <f t="shared" si="1"/>
        <v>0</v>
      </c>
      <c r="I21" s="13" t="s">
        <v>101</v>
      </c>
      <c r="J21" s="1">
        <f t="shared" si="2"/>
        <v>0</v>
      </c>
    </row>
    <row r="22" spans="1:10" s="1" customFormat="1" ht="14.1" customHeight="1">
      <c r="A22" s="9">
        <f t="shared" si="0"/>
        <v>18</v>
      </c>
      <c r="B22" s="9">
        <v>210010301</v>
      </c>
      <c r="C22" s="1" t="s">
        <v>67</v>
      </c>
      <c r="D22" s="1" t="s">
        <v>402</v>
      </c>
      <c r="E22" s="1">
        <v>70</v>
      </c>
      <c r="F22" s="309"/>
      <c r="G22" s="309"/>
      <c r="H22" s="13">
        <f t="shared" si="1"/>
        <v>0</v>
      </c>
      <c r="I22" s="13" t="s">
        <v>101</v>
      </c>
      <c r="J22" s="1">
        <f t="shared" si="2"/>
        <v>0</v>
      </c>
    </row>
    <row r="23" spans="1:10" s="1" customFormat="1" ht="14.1" customHeight="1">
      <c r="A23" s="9">
        <f t="shared" si="0"/>
        <v>19</v>
      </c>
      <c r="B23" s="9">
        <v>210010321</v>
      </c>
      <c r="C23" s="1" t="s">
        <v>123</v>
      </c>
      <c r="D23" s="1" t="s">
        <v>402</v>
      </c>
      <c r="E23" s="1">
        <v>13</v>
      </c>
      <c r="F23" s="309"/>
      <c r="G23" s="309"/>
      <c r="H23" s="13">
        <f t="shared" si="1"/>
        <v>0</v>
      </c>
      <c r="I23" s="13" t="s">
        <v>101</v>
      </c>
      <c r="J23" s="1">
        <f t="shared" si="2"/>
        <v>0</v>
      </c>
    </row>
    <row r="24" spans="1:10" s="1" customFormat="1" ht="14.1" customHeight="1">
      <c r="A24" s="9">
        <f t="shared" si="0"/>
        <v>20</v>
      </c>
      <c r="B24" s="9">
        <v>211010011</v>
      </c>
      <c r="C24" s="1" t="s">
        <v>68</v>
      </c>
      <c r="D24" s="1" t="s">
        <v>402</v>
      </c>
      <c r="E24" s="1">
        <v>30</v>
      </c>
      <c r="F24" s="309"/>
      <c r="G24" s="309"/>
      <c r="H24" s="13">
        <f t="shared" si="1"/>
        <v>0</v>
      </c>
      <c r="I24" s="13" t="s">
        <v>101</v>
      </c>
      <c r="J24" s="1">
        <f t="shared" si="2"/>
        <v>0</v>
      </c>
    </row>
    <row r="25" spans="1:10" s="1" customFormat="1" ht="14.1" customHeight="1">
      <c r="A25" s="9">
        <f t="shared" si="0"/>
        <v>21</v>
      </c>
      <c r="B25" s="9">
        <v>210800024</v>
      </c>
      <c r="C25" s="1" t="s">
        <v>246</v>
      </c>
      <c r="D25" s="1" t="s">
        <v>403</v>
      </c>
      <c r="E25" s="1">
        <v>260</v>
      </c>
      <c r="F25" s="309"/>
      <c r="G25" s="309"/>
      <c r="H25" s="13">
        <f t="shared" si="1"/>
        <v>0</v>
      </c>
      <c r="I25" s="13" t="s">
        <v>101</v>
      </c>
      <c r="J25" s="1">
        <f t="shared" si="2"/>
        <v>0</v>
      </c>
    </row>
    <row r="26" spans="1:10" s="1" customFormat="1" ht="14.1" customHeight="1">
      <c r="A26" s="9">
        <f t="shared" si="0"/>
        <v>22</v>
      </c>
      <c r="B26" s="9">
        <v>210800022</v>
      </c>
      <c r="C26" s="1" t="s">
        <v>247</v>
      </c>
      <c r="D26" s="1" t="s">
        <v>403</v>
      </c>
      <c r="E26" s="1">
        <v>44</v>
      </c>
      <c r="F26" s="309"/>
      <c r="G26" s="309"/>
      <c r="H26" s="13">
        <f t="shared" si="1"/>
        <v>0</v>
      </c>
      <c r="I26" s="13" t="s">
        <v>101</v>
      </c>
      <c r="J26" s="1">
        <f t="shared" si="2"/>
        <v>0</v>
      </c>
    </row>
    <row r="27" spans="1:10" s="1" customFormat="1" ht="14.1" customHeight="1">
      <c r="A27" s="9">
        <f t="shared" si="0"/>
        <v>23</v>
      </c>
      <c r="B27" s="9">
        <v>210800023</v>
      </c>
      <c r="C27" s="1" t="s">
        <v>248</v>
      </c>
      <c r="D27" s="1" t="s">
        <v>403</v>
      </c>
      <c r="E27" s="1">
        <v>30</v>
      </c>
      <c r="F27" s="309"/>
      <c r="G27" s="309"/>
      <c r="H27" s="13">
        <f t="shared" si="1"/>
        <v>0</v>
      </c>
      <c r="I27" s="13" t="s">
        <v>101</v>
      </c>
      <c r="J27" s="1">
        <f t="shared" si="2"/>
        <v>0</v>
      </c>
    </row>
    <row r="28" spans="1:10" s="1" customFormat="1" ht="14.1" customHeight="1">
      <c r="A28" s="9">
        <f t="shared" si="0"/>
        <v>24</v>
      </c>
      <c r="B28" s="9">
        <v>210800023</v>
      </c>
      <c r="C28" s="1" t="s">
        <v>249</v>
      </c>
      <c r="D28" s="1" t="s">
        <v>403</v>
      </c>
      <c r="E28" s="1">
        <v>90</v>
      </c>
      <c r="F28" s="309"/>
      <c r="G28" s="309"/>
      <c r="H28" s="13">
        <f t="shared" si="1"/>
        <v>0</v>
      </c>
      <c r="I28" s="13" t="s">
        <v>101</v>
      </c>
      <c r="J28" s="1">
        <f t="shared" si="2"/>
        <v>0</v>
      </c>
    </row>
    <row r="29" spans="1:10" s="1" customFormat="1" ht="14.1" customHeight="1">
      <c r="A29" s="9">
        <f t="shared" si="0"/>
        <v>25</v>
      </c>
      <c r="B29" s="9">
        <v>210810115</v>
      </c>
      <c r="C29" s="1" t="s">
        <v>250</v>
      </c>
      <c r="D29" s="1" t="s">
        <v>403</v>
      </c>
      <c r="E29" s="1">
        <v>60</v>
      </c>
      <c r="F29" s="309"/>
      <c r="G29" s="309"/>
      <c r="H29" s="13">
        <f t="shared" si="1"/>
        <v>0</v>
      </c>
      <c r="I29" s="13" t="s">
        <v>101</v>
      </c>
      <c r="J29" s="1">
        <f t="shared" si="2"/>
        <v>0</v>
      </c>
    </row>
    <row r="30" spans="1:10" s="1" customFormat="1" ht="14.1" customHeight="1">
      <c r="A30" s="9">
        <f t="shared" si="0"/>
        <v>26</v>
      </c>
      <c r="B30" s="9">
        <v>210800506</v>
      </c>
      <c r="C30" s="1" t="s">
        <v>69</v>
      </c>
      <c r="D30" s="1" t="s">
        <v>403</v>
      </c>
      <c r="E30" s="1">
        <v>30</v>
      </c>
      <c r="F30" s="309"/>
      <c r="G30" s="309"/>
      <c r="H30" s="13">
        <f t="shared" si="1"/>
        <v>0</v>
      </c>
      <c r="I30" s="13" t="s">
        <v>101</v>
      </c>
      <c r="J30" s="1">
        <f t="shared" si="2"/>
        <v>0</v>
      </c>
    </row>
    <row r="31" spans="1:10" s="1" customFormat="1" ht="12.75" customHeight="1">
      <c r="A31" s="9">
        <f t="shared" si="0"/>
        <v>27</v>
      </c>
      <c r="B31" s="9">
        <v>210190001</v>
      </c>
      <c r="C31" s="1" t="s">
        <v>70</v>
      </c>
      <c r="D31" s="1" t="s">
        <v>402</v>
      </c>
      <c r="E31" s="1">
        <v>1</v>
      </c>
      <c r="F31" s="13"/>
      <c r="G31" s="309"/>
      <c r="H31" s="13">
        <f t="shared" si="1"/>
        <v>0</v>
      </c>
      <c r="I31" s="13" t="s">
        <v>101</v>
      </c>
      <c r="J31" s="1">
        <f t="shared" si="2"/>
        <v>0</v>
      </c>
    </row>
    <row r="32" spans="1:10" s="1" customFormat="1" ht="12.75" customHeight="1">
      <c r="A32" s="9">
        <f t="shared" si="0"/>
        <v>28</v>
      </c>
      <c r="B32" s="9">
        <v>210292041</v>
      </c>
      <c r="C32" s="1" t="s">
        <v>71</v>
      </c>
      <c r="D32" s="1" t="s">
        <v>402</v>
      </c>
      <c r="E32" s="1">
        <v>40</v>
      </c>
      <c r="F32" s="13"/>
      <c r="G32" s="309"/>
      <c r="H32" s="13">
        <f t="shared" si="1"/>
        <v>0</v>
      </c>
      <c r="I32" s="13" t="s">
        <v>101</v>
      </c>
      <c r="J32" s="1">
        <f t="shared" si="2"/>
        <v>0</v>
      </c>
    </row>
    <row r="33" spans="1:10" s="1" customFormat="1" ht="12.75" customHeight="1">
      <c r="A33" s="9">
        <f t="shared" si="0"/>
        <v>29</v>
      </c>
      <c r="B33" s="9">
        <v>210100001</v>
      </c>
      <c r="C33" s="1" t="s">
        <v>124</v>
      </c>
      <c r="D33" s="1" t="s">
        <v>402</v>
      </c>
      <c r="E33" s="1">
        <v>50</v>
      </c>
      <c r="F33" s="13"/>
      <c r="G33" s="309"/>
      <c r="H33" s="13">
        <f t="shared" si="1"/>
        <v>0</v>
      </c>
      <c r="I33" s="13" t="s">
        <v>101</v>
      </c>
      <c r="J33" s="1">
        <f t="shared" si="2"/>
        <v>0</v>
      </c>
    </row>
    <row r="34" spans="1:10" s="1" customFormat="1" ht="12.75" customHeight="1">
      <c r="A34" s="9">
        <f t="shared" si="0"/>
        <v>30</v>
      </c>
      <c r="B34" s="9">
        <v>210100281</v>
      </c>
      <c r="C34" s="1" t="s">
        <v>251</v>
      </c>
      <c r="D34" s="1" t="s">
        <v>402</v>
      </c>
      <c r="E34" s="1">
        <v>1</v>
      </c>
      <c r="F34" s="13"/>
      <c r="G34" s="309"/>
      <c r="H34" s="13">
        <f t="shared" si="1"/>
        <v>0</v>
      </c>
      <c r="I34" s="13" t="s">
        <v>101</v>
      </c>
      <c r="J34" s="1">
        <f t="shared" si="2"/>
        <v>0</v>
      </c>
    </row>
    <row r="35" spans="1:10" s="1" customFormat="1" ht="12.75" customHeight="1">
      <c r="A35" s="9">
        <f t="shared" si="0"/>
        <v>31</v>
      </c>
      <c r="B35" s="9">
        <v>974051215</v>
      </c>
      <c r="C35" s="1" t="s">
        <v>252</v>
      </c>
      <c r="D35" s="1" t="s">
        <v>403</v>
      </c>
      <c r="E35" s="1">
        <v>220</v>
      </c>
      <c r="F35" s="13"/>
      <c r="G35" s="309"/>
      <c r="H35" s="13">
        <f t="shared" si="1"/>
        <v>0</v>
      </c>
      <c r="I35" s="13" t="s">
        <v>101</v>
      </c>
      <c r="J35" s="1">
        <f t="shared" si="2"/>
        <v>0</v>
      </c>
    </row>
    <row r="36" spans="1:9" s="1" customFormat="1" ht="12.75" customHeight="1">
      <c r="A36" s="9">
        <f t="shared" si="0"/>
        <v>32</v>
      </c>
      <c r="B36" s="9">
        <v>974052513</v>
      </c>
      <c r="C36" s="1" t="s">
        <v>253</v>
      </c>
      <c r="D36" s="1" t="s">
        <v>403</v>
      </c>
      <c r="E36" s="1">
        <v>18</v>
      </c>
      <c r="F36" s="13"/>
      <c r="G36" s="309"/>
      <c r="H36" s="13">
        <f>(F36+G36)*E36</f>
        <v>0</v>
      </c>
      <c r="I36" s="13" t="s">
        <v>101</v>
      </c>
    </row>
    <row r="37" spans="1:10" s="1" customFormat="1" ht="12.75" customHeight="1">
      <c r="A37" s="9">
        <f t="shared" si="0"/>
        <v>33</v>
      </c>
      <c r="B37" s="9">
        <v>210040721</v>
      </c>
      <c r="C37" s="1" t="s">
        <v>125</v>
      </c>
      <c r="D37" s="1" t="s">
        <v>402</v>
      </c>
      <c r="E37" s="1">
        <v>8</v>
      </c>
      <c r="F37" s="13"/>
      <c r="G37" s="309"/>
      <c r="H37" s="13">
        <f t="shared" si="1"/>
        <v>0</v>
      </c>
      <c r="I37" s="13" t="s">
        <v>101</v>
      </c>
      <c r="J37" s="1">
        <f t="shared" si="2"/>
        <v>0</v>
      </c>
    </row>
    <row r="38" spans="1:10" s="1" customFormat="1" ht="12.75" customHeight="1">
      <c r="A38" s="9">
        <f t="shared" si="0"/>
        <v>34</v>
      </c>
      <c r="B38" s="9">
        <v>974054208</v>
      </c>
      <c r="C38" s="1" t="s">
        <v>126</v>
      </c>
      <c r="D38" s="1" t="s">
        <v>402</v>
      </c>
      <c r="E38" s="1">
        <v>83</v>
      </c>
      <c r="F38" s="13"/>
      <c r="G38" s="309"/>
      <c r="H38" s="13">
        <f t="shared" si="1"/>
        <v>0</v>
      </c>
      <c r="I38" s="13" t="s">
        <v>101</v>
      </c>
      <c r="J38" s="1">
        <f t="shared" si="2"/>
        <v>0</v>
      </c>
    </row>
    <row r="39" spans="1:10" s="1" customFormat="1" ht="12.75" customHeight="1">
      <c r="A39" s="9">
        <f t="shared" si="0"/>
        <v>35</v>
      </c>
      <c r="B39" s="9" t="s">
        <v>61</v>
      </c>
      <c r="C39" s="1" t="s">
        <v>983</v>
      </c>
      <c r="D39" s="1" t="s">
        <v>402</v>
      </c>
      <c r="E39" s="1">
        <v>3</v>
      </c>
      <c r="F39" s="13"/>
      <c r="G39" s="309"/>
      <c r="H39" s="13">
        <f t="shared" si="1"/>
        <v>0</v>
      </c>
      <c r="I39" s="13" t="s">
        <v>101</v>
      </c>
      <c r="J39" s="1">
        <f t="shared" si="2"/>
        <v>0</v>
      </c>
    </row>
    <row r="40" spans="1:9" s="1" customFormat="1" ht="12.75" customHeight="1">
      <c r="A40" s="9">
        <f t="shared" si="0"/>
        <v>36</v>
      </c>
      <c r="B40" s="9" t="s">
        <v>61</v>
      </c>
      <c r="C40" s="1" t="s">
        <v>72</v>
      </c>
      <c r="D40" s="1" t="s">
        <v>73</v>
      </c>
      <c r="E40" s="1">
        <v>1</v>
      </c>
      <c r="F40" s="13"/>
      <c r="G40" s="309"/>
      <c r="H40" s="13">
        <f t="shared" si="1"/>
        <v>0</v>
      </c>
      <c r="I40" s="13" t="s">
        <v>101</v>
      </c>
    </row>
    <row r="41" spans="1:9" s="1" customFormat="1" ht="12.75" customHeight="1">
      <c r="A41" s="9">
        <f t="shared" si="0"/>
        <v>37</v>
      </c>
      <c r="B41" s="9" t="s">
        <v>407</v>
      </c>
      <c r="C41" s="1" t="s">
        <v>127</v>
      </c>
      <c r="D41" s="1" t="s">
        <v>74</v>
      </c>
      <c r="E41" s="1">
        <v>32</v>
      </c>
      <c r="F41" s="13"/>
      <c r="G41" s="309"/>
      <c r="H41" s="13">
        <f t="shared" si="1"/>
        <v>0</v>
      </c>
      <c r="I41" s="13" t="s">
        <v>101</v>
      </c>
    </row>
    <row r="42" spans="1:10" s="1" customFormat="1" ht="12.75" customHeight="1">
      <c r="A42" s="9">
        <f t="shared" si="0"/>
        <v>38</v>
      </c>
      <c r="B42" s="9" t="s">
        <v>407</v>
      </c>
      <c r="C42" s="1" t="s">
        <v>75</v>
      </c>
      <c r="D42" s="1" t="s">
        <v>74</v>
      </c>
      <c r="E42" s="1">
        <v>24</v>
      </c>
      <c r="F42" s="13"/>
      <c r="G42" s="309"/>
      <c r="H42" s="13">
        <f t="shared" si="1"/>
        <v>0</v>
      </c>
      <c r="I42" s="13" t="s">
        <v>101</v>
      </c>
      <c r="J42" s="1">
        <f t="shared" si="2"/>
        <v>0</v>
      </c>
    </row>
    <row r="43" spans="1:10" s="1" customFormat="1" ht="12.75" customHeight="1">
      <c r="A43" s="9"/>
      <c r="B43" s="9"/>
      <c r="C43" s="12" t="s">
        <v>76</v>
      </c>
      <c r="F43" s="13"/>
      <c r="G43" s="13"/>
      <c r="H43" s="15">
        <f>SUM(H5:H42)</f>
        <v>0</v>
      </c>
      <c r="I43" s="15"/>
      <c r="J43" s="1">
        <f>SUM(J5:J42)</f>
        <v>0</v>
      </c>
    </row>
    <row r="44" spans="1:9" s="1" customFormat="1" ht="12.75" customHeight="1">
      <c r="A44" s="9"/>
      <c r="B44" s="9"/>
      <c r="C44" s="12"/>
      <c r="F44" s="13"/>
      <c r="G44" s="13"/>
      <c r="H44" s="15"/>
      <c r="I44" s="15"/>
    </row>
    <row r="45" spans="1:9" s="1" customFormat="1" ht="12.75" customHeight="1">
      <c r="A45" s="9"/>
      <c r="B45" s="9"/>
      <c r="C45" s="12" t="s">
        <v>254</v>
      </c>
      <c r="F45" s="13"/>
      <c r="G45" s="13"/>
      <c r="H45" s="13"/>
      <c r="I45" s="13"/>
    </row>
    <row r="46" spans="1:10" s="1" customFormat="1" ht="12.75" customHeight="1">
      <c r="A46" s="9">
        <v>1</v>
      </c>
      <c r="B46" s="9"/>
      <c r="C46" s="1" t="s">
        <v>674</v>
      </c>
      <c r="D46" s="1" t="s">
        <v>402</v>
      </c>
      <c r="E46" s="1">
        <v>1</v>
      </c>
      <c r="F46" s="309"/>
      <c r="G46" s="13"/>
      <c r="H46" s="13">
        <f aca="true" t="shared" si="3" ref="H46:H55">(F46+G46)*E46</f>
        <v>0</v>
      </c>
      <c r="I46" s="13" t="s">
        <v>101</v>
      </c>
      <c r="J46" s="1">
        <f>E46*F46</f>
        <v>0</v>
      </c>
    </row>
    <row r="47" spans="1:9" s="1" customFormat="1" ht="12.75" customHeight="1">
      <c r="A47" s="9">
        <f>A46+1</f>
        <v>2</v>
      </c>
      <c r="B47" s="9"/>
      <c r="C47" s="1" t="s">
        <v>675</v>
      </c>
      <c r="D47" s="1" t="s">
        <v>402</v>
      </c>
      <c r="E47" s="1">
        <v>1</v>
      </c>
      <c r="F47" s="309"/>
      <c r="G47" s="13"/>
      <c r="H47" s="13">
        <f t="shared" si="3"/>
        <v>0</v>
      </c>
      <c r="I47" s="13" t="s">
        <v>101</v>
      </c>
    </row>
    <row r="48" spans="1:10" s="1" customFormat="1" ht="12.75" customHeight="1">
      <c r="A48" s="9">
        <f aca="true" t="shared" si="4" ref="A48:A55">A47+1</f>
        <v>3</v>
      </c>
      <c r="B48" s="9"/>
      <c r="C48" s="1" t="s">
        <v>255</v>
      </c>
      <c r="D48" s="1" t="s">
        <v>402</v>
      </c>
      <c r="E48" s="1">
        <v>1</v>
      </c>
      <c r="F48" s="309"/>
      <c r="G48" s="13"/>
      <c r="H48" s="13">
        <f t="shared" si="3"/>
        <v>0</v>
      </c>
      <c r="I48" s="13" t="s">
        <v>101</v>
      </c>
      <c r="J48" s="1">
        <f aca="true" t="shared" si="5" ref="J48:J55">E48*F48</f>
        <v>0</v>
      </c>
    </row>
    <row r="49" spans="1:10" s="1" customFormat="1" ht="12.75" customHeight="1">
      <c r="A49" s="9">
        <f t="shared" si="4"/>
        <v>4</v>
      </c>
      <c r="B49" s="9"/>
      <c r="C49" s="1" t="s">
        <v>128</v>
      </c>
      <c r="D49" s="1" t="s">
        <v>402</v>
      </c>
      <c r="E49" s="1">
        <v>1</v>
      </c>
      <c r="F49" s="309"/>
      <c r="G49" s="13"/>
      <c r="H49" s="13">
        <f t="shared" si="3"/>
        <v>0</v>
      </c>
      <c r="I49" s="13" t="s">
        <v>101</v>
      </c>
      <c r="J49" s="1">
        <f t="shared" si="5"/>
        <v>0</v>
      </c>
    </row>
    <row r="50" spans="1:10" s="1" customFormat="1" ht="12.75" customHeight="1">
      <c r="A50" s="9">
        <f t="shared" si="4"/>
        <v>5</v>
      </c>
      <c r="B50" s="9"/>
      <c r="C50" s="1" t="s">
        <v>676</v>
      </c>
      <c r="D50" s="1" t="s">
        <v>402</v>
      </c>
      <c r="E50" s="1">
        <v>1</v>
      </c>
      <c r="F50" s="309"/>
      <c r="G50" s="13"/>
      <c r="H50" s="13">
        <f t="shared" si="3"/>
        <v>0</v>
      </c>
      <c r="I50" s="13" t="s">
        <v>101</v>
      </c>
      <c r="J50" s="1">
        <f t="shared" si="5"/>
        <v>0</v>
      </c>
    </row>
    <row r="51" spans="1:10" s="1" customFormat="1" ht="12.75" customHeight="1">
      <c r="A51" s="9">
        <f t="shared" si="4"/>
        <v>6</v>
      </c>
      <c r="B51" s="9"/>
      <c r="C51" s="1" t="s">
        <v>256</v>
      </c>
      <c r="D51" s="1" t="s">
        <v>402</v>
      </c>
      <c r="E51" s="1">
        <v>2</v>
      </c>
      <c r="F51" s="309"/>
      <c r="G51" s="13"/>
      <c r="H51" s="13">
        <f t="shared" si="3"/>
        <v>0</v>
      </c>
      <c r="I51" s="13" t="s">
        <v>101</v>
      </c>
      <c r="J51" s="1">
        <f t="shared" si="5"/>
        <v>0</v>
      </c>
    </row>
    <row r="52" spans="1:9" s="1" customFormat="1" ht="12.75" customHeight="1">
      <c r="A52" s="9">
        <f t="shared" si="4"/>
        <v>7</v>
      </c>
      <c r="B52" s="9"/>
      <c r="C52" s="1" t="s">
        <v>257</v>
      </c>
      <c r="D52" s="1" t="s">
        <v>402</v>
      </c>
      <c r="E52" s="1">
        <v>11</v>
      </c>
      <c r="F52" s="309"/>
      <c r="G52" s="13"/>
      <c r="H52" s="13">
        <f t="shared" si="3"/>
        <v>0</v>
      </c>
      <c r="I52" s="13" t="s">
        <v>101</v>
      </c>
    </row>
    <row r="53" spans="1:9" s="1" customFormat="1" ht="12.75" customHeight="1">
      <c r="A53" s="9">
        <f t="shared" si="4"/>
        <v>8</v>
      </c>
      <c r="B53" s="9"/>
      <c r="C53" s="1" t="s">
        <v>77</v>
      </c>
      <c r="D53" s="1" t="s">
        <v>403</v>
      </c>
      <c r="E53" s="1">
        <v>0.5</v>
      </c>
      <c r="F53" s="309"/>
      <c r="G53" s="13"/>
      <c r="H53" s="13">
        <f t="shared" si="3"/>
        <v>0</v>
      </c>
      <c r="I53" s="13" t="s">
        <v>101</v>
      </c>
    </row>
    <row r="54" spans="1:9" s="1" customFormat="1" ht="12.75" customHeight="1">
      <c r="A54" s="9">
        <f t="shared" si="4"/>
        <v>9</v>
      </c>
      <c r="B54" s="9"/>
      <c r="C54" s="1" t="s">
        <v>258</v>
      </c>
      <c r="D54" s="1" t="s">
        <v>399</v>
      </c>
      <c r="E54" s="1">
        <v>1</v>
      </c>
      <c r="F54" s="309"/>
      <c r="G54" s="13"/>
      <c r="H54" s="13">
        <f t="shared" si="3"/>
        <v>0</v>
      </c>
      <c r="I54" s="13" t="s">
        <v>101</v>
      </c>
    </row>
    <row r="55" spans="1:10" s="1" customFormat="1" ht="12.75" customHeight="1">
      <c r="A55" s="9">
        <f t="shared" si="4"/>
        <v>10</v>
      </c>
      <c r="B55" s="9"/>
      <c r="C55" s="1" t="s">
        <v>78</v>
      </c>
      <c r="D55" s="1" t="s">
        <v>399</v>
      </c>
      <c r="E55" s="1">
        <v>1</v>
      </c>
      <c r="F55" s="13"/>
      <c r="G55" s="309"/>
      <c r="H55" s="13">
        <f t="shared" si="3"/>
        <v>0</v>
      </c>
      <c r="I55" s="13" t="s">
        <v>101</v>
      </c>
      <c r="J55" s="1">
        <f t="shared" si="5"/>
        <v>0</v>
      </c>
    </row>
    <row r="56" spans="1:10" s="1" customFormat="1" ht="12.75" customHeight="1">
      <c r="A56" s="9"/>
      <c r="B56" s="9"/>
      <c r="C56" s="12" t="s">
        <v>259</v>
      </c>
      <c r="H56" s="15">
        <f>SUM(H46:H55)</f>
        <v>0</v>
      </c>
      <c r="I56" s="15"/>
      <c r="J56" s="1">
        <f>SUM(J46:J55)</f>
        <v>0</v>
      </c>
    </row>
    <row r="57" spans="1:9" s="1" customFormat="1" ht="12.75" customHeight="1">
      <c r="A57" s="9"/>
      <c r="B57" s="9"/>
      <c r="C57" s="12"/>
      <c r="H57" s="15"/>
      <c r="I57" s="15"/>
    </row>
    <row r="58" spans="1:9" s="1" customFormat="1" ht="18" customHeight="1">
      <c r="A58" s="9"/>
      <c r="B58" s="9"/>
      <c r="C58" s="11" t="s">
        <v>79</v>
      </c>
      <c r="H58" s="15"/>
      <c r="I58" s="15"/>
    </row>
    <row r="59" spans="1:9" s="1" customFormat="1" ht="12.75" customHeight="1">
      <c r="A59" s="9"/>
      <c r="B59" s="9"/>
      <c r="C59" s="12" t="s">
        <v>57</v>
      </c>
      <c r="E59" s="9" t="s">
        <v>405</v>
      </c>
      <c r="F59" s="9" t="s">
        <v>58</v>
      </c>
      <c r="G59" s="9" t="s">
        <v>59</v>
      </c>
      <c r="H59" s="9" t="s">
        <v>406</v>
      </c>
      <c r="I59" s="15"/>
    </row>
    <row r="60" spans="1:9" s="1" customFormat="1" ht="12.75" customHeight="1">
      <c r="A60" s="9">
        <v>1</v>
      </c>
      <c r="B60" s="9">
        <v>210111012</v>
      </c>
      <c r="C60" s="1" t="s">
        <v>260</v>
      </c>
      <c r="D60" s="1" t="s">
        <v>402</v>
      </c>
      <c r="E60" s="1">
        <v>3</v>
      </c>
      <c r="F60" s="309"/>
      <c r="G60" s="309"/>
      <c r="H60" s="13">
        <f aca="true" t="shared" si="6" ref="H60:H73">(F60+G60)*E60</f>
        <v>0</v>
      </c>
      <c r="I60" s="13" t="s">
        <v>101</v>
      </c>
    </row>
    <row r="61" spans="1:9" s="1" customFormat="1" ht="12.75" customHeight="1">
      <c r="A61" s="9">
        <f aca="true" t="shared" si="7" ref="A61:A73">A60+1</f>
        <v>2</v>
      </c>
      <c r="B61" s="9">
        <v>210111012</v>
      </c>
      <c r="C61" s="1" t="s">
        <v>129</v>
      </c>
      <c r="D61" s="1" t="s">
        <v>402</v>
      </c>
      <c r="E61" s="1">
        <v>1</v>
      </c>
      <c r="F61" s="309"/>
      <c r="G61" s="309"/>
      <c r="H61" s="13">
        <f t="shared" si="6"/>
        <v>0</v>
      </c>
      <c r="I61" s="13" t="s">
        <v>101</v>
      </c>
    </row>
    <row r="62" spans="1:9" s="1" customFormat="1" ht="12.75" customHeight="1">
      <c r="A62" s="9">
        <f t="shared" si="7"/>
        <v>3</v>
      </c>
      <c r="B62" s="9">
        <v>210111012</v>
      </c>
      <c r="C62" s="1" t="s">
        <v>261</v>
      </c>
      <c r="D62" s="1" t="s">
        <v>402</v>
      </c>
      <c r="E62" s="1">
        <v>4</v>
      </c>
      <c r="F62" s="309"/>
      <c r="G62" s="309"/>
      <c r="H62" s="13">
        <f t="shared" si="6"/>
        <v>0</v>
      </c>
      <c r="I62" s="13" t="s">
        <v>101</v>
      </c>
    </row>
    <row r="63" spans="1:10" s="1" customFormat="1" ht="12.75" customHeight="1">
      <c r="A63" s="9">
        <f t="shared" si="7"/>
        <v>4</v>
      </c>
      <c r="B63" s="9">
        <v>210010301</v>
      </c>
      <c r="C63" s="1" t="s">
        <v>67</v>
      </c>
      <c r="D63" s="1" t="s">
        <v>402</v>
      </c>
      <c r="E63" s="1">
        <v>10</v>
      </c>
      <c r="F63" s="309"/>
      <c r="G63" s="309"/>
      <c r="H63" s="13">
        <f t="shared" si="6"/>
        <v>0</v>
      </c>
      <c r="I63" s="13" t="s">
        <v>101</v>
      </c>
      <c r="J63" s="1">
        <f>E63*F63</f>
        <v>0</v>
      </c>
    </row>
    <row r="64" spans="1:9" s="1" customFormat="1" ht="12.75" customHeight="1">
      <c r="A64" s="9">
        <f t="shared" si="7"/>
        <v>5</v>
      </c>
      <c r="B64" s="9">
        <v>210010301</v>
      </c>
      <c r="C64" s="1" t="s">
        <v>262</v>
      </c>
      <c r="D64" s="1" t="s">
        <v>402</v>
      </c>
      <c r="E64" s="1">
        <v>3</v>
      </c>
      <c r="F64" s="309"/>
      <c r="G64" s="309"/>
      <c r="H64" s="13">
        <f t="shared" si="6"/>
        <v>0</v>
      </c>
      <c r="I64" s="13" t="s">
        <v>101</v>
      </c>
    </row>
    <row r="65" spans="1:10" s="1" customFormat="1" ht="12.75" customHeight="1">
      <c r="A65" s="9">
        <f>A64+1</f>
        <v>6</v>
      </c>
      <c r="B65" s="9">
        <v>210800549</v>
      </c>
      <c r="C65" s="1" t="s">
        <v>263</v>
      </c>
      <c r="D65" s="1" t="s">
        <v>403</v>
      </c>
      <c r="E65" s="1">
        <v>110</v>
      </c>
      <c r="F65" s="309"/>
      <c r="G65" s="309"/>
      <c r="H65" s="13">
        <f t="shared" si="6"/>
        <v>0</v>
      </c>
      <c r="I65" s="13" t="s">
        <v>101</v>
      </c>
      <c r="J65" s="1">
        <f>E65*F65</f>
        <v>0</v>
      </c>
    </row>
    <row r="66" spans="1:9" s="1" customFormat="1" ht="12.75" customHeight="1">
      <c r="A66" s="9">
        <f t="shared" si="7"/>
        <v>7</v>
      </c>
      <c r="B66" s="9">
        <v>210800549</v>
      </c>
      <c r="C66" s="1" t="s">
        <v>264</v>
      </c>
      <c r="D66" s="1" t="s">
        <v>403</v>
      </c>
      <c r="E66" s="1">
        <v>16</v>
      </c>
      <c r="F66" s="309"/>
      <c r="G66" s="309"/>
      <c r="H66" s="13">
        <f t="shared" si="6"/>
        <v>0</v>
      </c>
      <c r="I66" s="13" t="s">
        <v>101</v>
      </c>
    </row>
    <row r="67" spans="1:10" s="1" customFormat="1" ht="12.75" customHeight="1">
      <c r="A67" s="9">
        <f t="shared" si="7"/>
        <v>8</v>
      </c>
      <c r="B67" s="9">
        <v>210010002</v>
      </c>
      <c r="C67" s="1" t="s">
        <v>265</v>
      </c>
      <c r="D67" s="1" t="s">
        <v>403</v>
      </c>
      <c r="E67" s="1">
        <v>16</v>
      </c>
      <c r="F67" s="309"/>
      <c r="G67" s="309"/>
      <c r="H67" s="13">
        <f t="shared" si="6"/>
        <v>0</v>
      </c>
      <c r="I67" s="13" t="s">
        <v>101</v>
      </c>
      <c r="J67" s="1">
        <f>E67*F67</f>
        <v>0</v>
      </c>
    </row>
    <row r="68" spans="1:9" s="1" customFormat="1" ht="12.75" customHeight="1">
      <c r="A68" s="9">
        <f t="shared" si="7"/>
        <v>9</v>
      </c>
      <c r="B68" s="9">
        <v>974054208</v>
      </c>
      <c r="C68" s="1" t="s">
        <v>126</v>
      </c>
      <c r="D68" s="1" t="s">
        <v>402</v>
      </c>
      <c r="E68" s="1">
        <v>5</v>
      </c>
      <c r="F68" s="13"/>
      <c r="G68" s="309"/>
      <c r="H68" s="13">
        <f t="shared" si="6"/>
        <v>0</v>
      </c>
      <c r="I68" s="13" t="s">
        <v>101</v>
      </c>
    </row>
    <row r="69" spans="1:9" s="1" customFormat="1" ht="12.75" customHeight="1">
      <c r="A69" s="9">
        <f>A68+1</f>
        <v>10</v>
      </c>
      <c r="B69" s="9">
        <v>974051215</v>
      </c>
      <c r="C69" s="1" t="s">
        <v>252</v>
      </c>
      <c r="D69" s="1" t="s">
        <v>403</v>
      </c>
      <c r="E69" s="1">
        <v>60</v>
      </c>
      <c r="F69" s="13"/>
      <c r="G69" s="309"/>
      <c r="H69" s="13">
        <f t="shared" si="6"/>
        <v>0</v>
      </c>
      <c r="I69" s="13" t="s">
        <v>101</v>
      </c>
    </row>
    <row r="70" spans="1:9" s="1" customFormat="1" ht="12.75" customHeight="1">
      <c r="A70" s="9">
        <f t="shared" si="7"/>
        <v>11</v>
      </c>
      <c r="B70" s="9">
        <v>210292041</v>
      </c>
      <c r="C70" s="1" t="s">
        <v>71</v>
      </c>
      <c r="D70" s="1" t="s">
        <v>402</v>
      </c>
      <c r="E70" s="1">
        <v>6</v>
      </c>
      <c r="F70" s="13"/>
      <c r="G70" s="309"/>
      <c r="H70" s="13">
        <f t="shared" si="6"/>
        <v>0</v>
      </c>
      <c r="I70" s="13" t="s">
        <v>101</v>
      </c>
    </row>
    <row r="71" spans="1:10" s="1" customFormat="1" ht="12.75" customHeight="1">
      <c r="A71" s="9">
        <f t="shared" si="7"/>
        <v>12</v>
      </c>
      <c r="B71" s="9">
        <v>210010351</v>
      </c>
      <c r="C71" s="16" t="s">
        <v>266</v>
      </c>
      <c r="D71" s="1" t="s">
        <v>402</v>
      </c>
      <c r="E71" s="1">
        <v>1</v>
      </c>
      <c r="F71" s="309"/>
      <c r="G71" s="309"/>
      <c r="H71" s="13">
        <f t="shared" si="6"/>
        <v>0</v>
      </c>
      <c r="I71" s="13" t="s">
        <v>101</v>
      </c>
      <c r="J71" s="1">
        <f>E71*F71</f>
        <v>0</v>
      </c>
    </row>
    <row r="72" spans="1:9" s="1" customFormat="1" ht="12.75" customHeight="1">
      <c r="A72" s="9">
        <f t="shared" si="7"/>
        <v>13</v>
      </c>
      <c r="B72" s="9">
        <v>210140671</v>
      </c>
      <c r="C72" s="16" t="s">
        <v>267</v>
      </c>
      <c r="D72" s="1" t="s">
        <v>402</v>
      </c>
      <c r="E72" s="1">
        <v>1</v>
      </c>
      <c r="F72" s="309"/>
      <c r="G72" s="309"/>
      <c r="H72" s="13">
        <f t="shared" si="6"/>
        <v>0</v>
      </c>
      <c r="I72" s="13" t="s">
        <v>101</v>
      </c>
    </row>
    <row r="73" spans="1:9" s="1" customFormat="1" ht="12.75" customHeight="1">
      <c r="A73" s="9">
        <f t="shared" si="7"/>
        <v>14</v>
      </c>
      <c r="B73" s="9">
        <v>210860201</v>
      </c>
      <c r="C73" s="16" t="s">
        <v>268</v>
      </c>
      <c r="D73" s="1" t="s">
        <v>403</v>
      </c>
      <c r="E73" s="1">
        <v>5</v>
      </c>
      <c r="F73" s="309"/>
      <c r="G73" s="309"/>
      <c r="H73" s="13">
        <f t="shared" si="6"/>
        <v>0</v>
      </c>
      <c r="I73" s="13" t="s">
        <v>101</v>
      </c>
    </row>
    <row r="74" spans="1:10" s="1" customFormat="1" ht="12.75" customHeight="1">
      <c r="A74" s="9"/>
      <c r="B74" s="9"/>
      <c r="C74" s="12" t="s">
        <v>80</v>
      </c>
      <c r="F74" s="13"/>
      <c r="G74" s="13"/>
      <c r="H74" s="15">
        <f>SUM(H60:H73)</f>
        <v>0</v>
      </c>
      <c r="I74" s="13"/>
      <c r="J74" s="1">
        <f>E74*F74</f>
        <v>0</v>
      </c>
    </row>
    <row r="75" spans="1:9" s="1" customFormat="1" ht="12.75" customHeight="1">
      <c r="A75" s="9"/>
      <c r="B75" s="9"/>
      <c r="C75" s="12"/>
      <c r="F75" s="13"/>
      <c r="G75" s="13"/>
      <c r="H75" s="15"/>
      <c r="I75" s="13"/>
    </row>
    <row r="76" spans="1:9" s="1" customFormat="1" ht="12.75" customHeight="1">
      <c r="A76" s="9"/>
      <c r="B76" s="9"/>
      <c r="C76" s="12"/>
      <c r="F76" s="13"/>
      <c r="G76" s="13"/>
      <c r="H76" s="15"/>
      <c r="I76" s="13"/>
    </row>
    <row r="77" spans="1:3" s="1" customFormat="1" ht="12.75" customHeight="1">
      <c r="A77" s="9"/>
      <c r="B77" s="9"/>
      <c r="C77" s="12" t="s">
        <v>48</v>
      </c>
    </row>
    <row r="78" spans="1:12" s="1" customFormat="1" ht="12.75">
      <c r="A78" s="9">
        <v>1</v>
      </c>
      <c r="B78" s="9"/>
      <c r="C78" s="17" t="s">
        <v>677</v>
      </c>
      <c r="D78" s="1" t="s">
        <v>408</v>
      </c>
      <c r="E78" s="310"/>
      <c r="F78" s="13"/>
      <c r="G78" s="13">
        <f>SUM(H43,H56,H74)</f>
        <v>0</v>
      </c>
      <c r="H78" s="13">
        <f>(F78+G78)*E78</f>
        <v>0</v>
      </c>
      <c r="I78" s="13" t="s">
        <v>101</v>
      </c>
      <c r="J78" s="1">
        <f>E78*F78</f>
        <v>0</v>
      </c>
      <c r="L78" s="18"/>
    </row>
    <row r="79" spans="1:12" s="1" customFormat="1" ht="12.75">
      <c r="A79" s="9">
        <f>A78+1</f>
        <v>2</v>
      </c>
      <c r="B79" s="9"/>
      <c r="C79" s="17" t="s">
        <v>269</v>
      </c>
      <c r="D79" s="1" t="s">
        <v>408</v>
      </c>
      <c r="E79" s="310"/>
      <c r="F79" s="13"/>
      <c r="G79" s="13">
        <f>SUM(H43,H56,H74)</f>
        <v>0</v>
      </c>
      <c r="H79" s="13">
        <f>(F79+G79)*E79</f>
        <v>0</v>
      </c>
      <c r="I79" s="13" t="s">
        <v>101</v>
      </c>
      <c r="J79" s="1">
        <f>E79*F79</f>
        <v>0</v>
      </c>
      <c r="L79" s="18"/>
    </row>
    <row r="80" spans="1:10" s="1" customFormat="1" ht="14.1" customHeight="1">
      <c r="A80" s="19"/>
      <c r="B80" s="9"/>
      <c r="C80" s="12" t="s">
        <v>82</v>
      </c>
      <c r="D80" s="12"/>
      <c r="E80" s="20"/>
      <c r="F80" s="12"/>
      <c r="G80" s="12"/>
      <c r="H80" s="15">
        <f>SUM(H78:H79)</f>
        <v>0</v>
      </c>
      <c r="I80" s="18"/>
      <c r="J80" s="1">
        <f>SUM(J78:J79)</f>
        <v>0</v>
      </c>
    </row>
    <row r="81" spans="1:9" s="1" customFormat="1" ht="14.1" customHeight="1">
      <c r="A81" s="19"/>
      <c r="B81" s="19"/>
      <c r="C81" s="21"/>
      <c r="D81" s="21"/>
      <c r="E81" s="22"/>
      <c r="F81" s="21"/>
      <c r="G81" s="21"/>
      <c r="H81" s="23"/>
      <c r="I81" s="18"/>
    </row>
    <row r="82" spans="1:10" s="1" customFormat="1" ht="12.75" customHeight="1">
      <c r="A82" s="9"/>
      <c r="B82" s="9"/>
      <c r="C82" s="12" t="s">
        <v>83</v>
      </c>
      <c r="H82" s="15">
        <f>H80+H74+H56+H43</f>
        <v>0</v>
      </c>
      <c r="I82" s="15"/>
      <c r="J82" s="15" t="e">
        <f>#REF!+J56+J43+J80</f>
        <v>#REF!</v>
      </c>
    </row>
    <row r="83" spans="1:10" s="1" customFormat="1" ht="12.75" customHeight="1">
      <c r="A83" s="9"/>
      <c r="B83" s="9"/>
      <c r="C83" s="12" t="s">
        <v>84</v>
      </c>
      <c r="D83" s="24">
        <v>0.15</v>
      </c>
      <c r="H83" s="15">
        <f>H82*D83</f>
        <v>0</v>
      </c>
      <c r="I83" s="15"/>
      <c r="J83" s="15"/>
    </row>
    <row r="84" spans="1:10" s="1" customFormat="1" ht="12.75" customHeight="1">
      <c r="A84" s="9"/>
      <c r="B84" s="9"/>
      <c r="C84" s="12" t="s">
        <v>85</v>
      </c>
      <c r="H84" s="15">
        <f>SUM(H82:H83)</f>
        <v>0</v>
      </c>
      <c r="I84" s="15"/>
      <c r="J84" s="15"/>
    </row>
    <row r="85" spans="1:10" s="1" customFormat="1" ht="12.75" customHeight="1">
      <c r="A85" s="9"/>
      <c r="B85" s="9"/>
      <c r="C85" s="12"/>
      <c r="H85" s="15"/>
      <c r="I85" s="15"/>
      <c r="J85" s="15"/>
    </row>
    <row r="86" spans="1:3" s="1" customFormat="1" ht="14.1" customHeight="1">
      <c r="A86" s="9"/>
      <c r="B86" s="9"/>
      <c r="C86" s="12" t="s">
        <v>86</v>
      </c>
    </row>
    <row r="87" spans="1:9" s="1" customFormat="1" ht="97.5" customHeight="1">
      <c r="A87" s="9"/>
      <c r="B87" s="9"/>
      <c r="C87" s="343" t="s">
        <v>87</v>
      </c>
      <c r="D87" s="343"/>
      <c r="E87" s="343"/>
      <c r="F87" s="343"/>
      <c r="G87" s="343"/>
      <c r="H87" s="343"/>
      <c r="I87" s="25"/>
    </row>
    <row r="88" spans="1:8" s="1" customFormat="1" ht="14.1" customHeight="1">
      <c r="A88" s="9"/>
      <c r="B88" s="9"/>
      <c r="C88" s="344" t="s">
        <v>393</v>
      </c>
      <c r="D88" s="344"/>
      <c r="E88" s="344"/>
      <c r="F88" s="344"/>
      <c r="G88" s="344"/>
      <c r="H88" s="344"/>
    </row>
    <row r="89" spans="1:8" s="1" customFormat="1" ht="14.1" customHeight="1">
      <c r="A89" s="9"/>
      <c r="B89" s="9"/>
      <c r="C89" s="342" t="s">
        <v>88</v>
      </c>
      <c r="D89" s="342"/>
      <c r="E89" s="342"/>
      <c r="F89" s="342"/>
      <c r="G89" s="342"/>
      <c r="H89" s="342"/>
    </row>
    <row r="90" spans="1:8" s="1" customFormat="1" ht="27.75" customHeight="1">
      <c r="A90" s="9"/>
      <c r="B90" s="9"/>
      <c r="C90" s="341" t="s">
        <v>89</v>
      </c>
      <c r="D90" s="341"/>
      <c r="E90" s="341"/>
      <c r="F90" s="341"/>
      <c r="G90" s="341"/>
      <c r="H90" s="341"/>
    </row>
    <row r="91" spans="1:8" s="1" customFormat="1" ht="14.1" customHeight="1">
      <c r="A91" s="9"/>
      <c r="B91" s="9"/>
      <c r="C91" s="342" t="s">
        <v>90</v>
      </c>
      <c r="D91" s="342"/>
      <c r="E91" s="342"/>
      <c r="F91" s="342"/>
      <c r="G91" s="342"/>
      <c r="H91" s="342"/>
    </row>
    <row r="92" spans="1:8" s="1" customFormat="1" ht="14.1" customHeight="1">
      <c r="A92" s="9"/>
      <c r="B92" s="9"/>
      <c r="C92" s="340" t="s">
        <v>91</v>
      </c>
      <c r="D92" s="340"/>
      <c r="E92" s="340"/>
      <c r="F92" s="340"/>
      <c r="G92" s="340"/>
      <c r="H92" s="340"/>
    </row>
    <row r="93" spans="1:8" s="1" customFormat="1" ht="14.1" customHeight="1">
      <c r="A93" s="9"/>
      <c r="B93" s="9"/>
      <c r="C93" s="26" t="s">
        <v>92</v>
      </c>
      <c r="D93" s="26"/>
      <c r="E93" s="26"/>
      <c r="F93" s="26"/>
      <c r="G93" s="26"/>
      <c r="H93" s="26"/>
    </row>
    <row r="94" spans="3:8" ht="31.5" customHeight="1">
      <c r="C94" s="341" t="s">
        <v>397</v>
      </c>
      <c r="D94" s="341"/>
      <c r="E94" s="341"/>
      <c r="F94" s="341"/>
      <c r="G94" s="341"/>
      <c r="H94" s="341"/>
    </row>
    <row r="95" spans="3:8" ht="27" customHeight="1">
      <c r="C95" s="341" t="s">
        <v>398</v>
      </c>
      <c r="D95" s="341"/>
      <c r="E95" s="341"/>
      <c r="F95" s="341"/>
      <c r="G95" s="341"/>
      <c r="H95" s="341"/>
    </row>
    <row r="96" spans="3:8" ht="15" customHeight="1">
      <c r="C96" s="341" t="s">
        <v>19</v>
      </c>
      <c r="D96" s="341"/>
      <c r="E96" s="341"/>
      <c r="F96" s="341"/>
      <c r="G96" s="341"/>
      <c r="H96" s="341"/>
    </row>
  </sheetData>
  <sheetProtection password="C778" sheet="1"/>
  <mergeCells count="10">
    <mergeCell ref="C1:J1"/>
    <mergeCell ref="C92:H92"/>
    <mergeCell ref="C96:H96"/>
    <mergeCell ref="C94:H94"/>
    <mergeCell ref="C95:H95"/>
    <mergeCell ref="C89:H89"/>
    <mergeCell ref="C91:H91"/>
    <mergeCell ref="C87:H87"/>
    <mergeCell ref="C88:H88"/>
    <mergeCell ref="C90:H90"/>
  </mergeCells>
  <conditionalFormatting sqref="C88">
    <cfRule type="expression" priority="1" dxfId="0" stopIfTrue="1">
      <formula>ISTEXT(C88)</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portrait" paperSize="9" scale="85" r:id="rId1"/>
  <headerFooter>
    <oddHeader>&amp;C&amp;D</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 Šiška</dc:creator>
  <cp:keywords/>
  <dc:description/>
  <cp:lastModifiedBy>swarzova</cp:lastModifiedBy>
  <cp:lastPrinted>2020-08-07T07:30:28Z</cp:lastPrinted>
  <dcterms:created xsi:type="dcterms:W3CDTF">2015-06-09T11:12:40Z</dcterms:created>
  <dcterms:modified xsi:type="dcterms:W3CDTF">2020-09-30T06:37:31Z</dcterms:modified>
  <cp:category/>
  <cp:version/>
  <cp:contentType/>
  <cp:contentStatus/>
</cp:coreProperties>
</file>