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Stavební rozpočet" sheetId="1" r:id="rId1"/>
    <sheet name="Stavební rozpočet - součet" sheetId="2" r:id="rId2"/>
    <sheet name="Výkaz výměr" sheetId="3" r:id="rId3"/>
    <sheet name="Krycí list rozpočtu" sheetId="4" r:id="rId4"/>
    <sheet name="VORN" sheetId="5" r:id="rId5"/>
  </sheets>
  <externalReferences>
    <externalReference r:id="rId8"/>
  </externalReferences>
  <definedNames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<sst xmlns="http://schemas.openxmlformats.org/spreadsheetml/2006/main" count="4476" uniqueCount="1294">
  <si>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</si>
  <si>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</si>
  <si>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</si>
  <si>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</si>
  <si>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</si>
  <si>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</si>
  <si>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</si>
  <si>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</si>
  <si>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</si>
  <si>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</si>
  <si>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</si>
  <si>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</si>
  <si>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</si>
  <si>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</si>
  <si>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</si>
  <si>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</si>
  <si>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</si>
  <si>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</si>
  <si>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</si>
  <si>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</si>
  <si>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</si>
  <si>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</si>
  <si>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</si>
  <si>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</si>
  <si>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</si>
  <si>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</si>
  <si>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</si>
  <si>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</si>
  <si>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</si>
  <si>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</si>
  <si>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</si>
  <si>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</si>
  <si>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</si>
  <si>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</si>
  <si>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</si>
  <si>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</si>
  <si>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</si>
  <si>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</si>
  <si>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</si>
  <si>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</si>
  <si>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</si>
  <si>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</si>
  <si>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</si>
  <si>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</si>
  <si>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</si>
  <si>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</si>
  <si>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</si>
  <si>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</si>
  <si>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</si>
  <si>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</si>
  <si>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</si>
  <si>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</si>
  <si>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</si>
  <si>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</si>
  <si>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</si>
  <si>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</si>
  <si>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</si>
  <si>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</si>
  <si>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</si>
  <si>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</si>
  <si>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</si>
  <si>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</si>
  <si>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</si>
  <si>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</si>
  <si>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</si>
  <si>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</si>
  <si>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</si>
  <si>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</si>
  <si>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</si>
  <si>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</si>
  <si>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</si>
  <si>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</si>
  <si>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</si>
  <si>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</si>
  <si>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</si>
  <si>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</si>
  <si>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</si>
  <si>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</si>
  <si>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</si>
  <si>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</si>
  <si>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</si>
  <si>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</si>
  <si>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</si>
  <si>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</si>
  <si>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</si>
  <si>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</si>
  <si>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</si>
  <si>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</si>
  <si>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</si>
  <si>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</si>
  <si>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</si>
  <si>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</si>
  <si>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</si>
  <si>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</si>
  <si>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</si>
  <si>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</si>
  <si>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</si>
  <si>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</si>
  <si>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</si>
  <si>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</si>
  <si>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</si>
  <si>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</si>
  <si>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</si>
  <si>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</si>
  <si>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</si>
  <si>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</si>
  <si>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</si>
  <si>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</si>
  <si>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</si>
  <si>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</si>
  <si>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</si>
  <si>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</si>
  <si>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</si>
  <si>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</si>
  <si>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</si>
  <si>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</si>
  <si>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</si>
  <si>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</si>
  <si>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</si>
  <si>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</si>
  <si>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</si>
  <si>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</si>
  <si>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</si>
  <si>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</si>
  <si>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</si>
  <si>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</si>
  <si>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</si>
  <si>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</si>
  <si>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</si>
  <si>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</si>
  <si>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</si>
  <si>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</si>
  <si>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</si>
  <si>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</si>
  <si>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</si>
  <si>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</si>
  <si>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</si>
  <si>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</si>
  <si>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</si>
  <si>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</si>
  <si>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</si>
  <si>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</si>
  <si>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</si>
  <si>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</si>
  <si>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</si>
  <si>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</si>
  <si>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</si>
  <si>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</si>
  <si>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</si>
  <si>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</si>
  <si>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</si>
  <si>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</si>
  <si>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</si>
  <si>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</si>
  <si>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</si>
  <si>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</si>
  <si>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</si>
  <si>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</si>
  <si>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</si>
  <si>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</si>
  <si>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</si>
  <si>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</si>
  <si>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</si>
  <si>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</si>
  <si>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</si>
  <si>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</si>
  <si>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</si>
  <si>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</si>
  <si>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</si>
  <si>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</si>
  <si>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</si>
  <si>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</si>
  <si>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</si>
  <si>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</si>
  <si>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</si>
  <si>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</si>
  <si>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</si>
  <si>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</si>
  <si>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</si>
  <si>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</si>
  <si>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</si>
  <si>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</si>
  <si>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</si>
  <si>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</si>
  <si>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</si>
  <si>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</si>
  <si>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</si>
  <si>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</si>
  <si>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</si>
  <si>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</si>
  <si>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</si>
  <si>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</si>
  <si>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</si>
  <si>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</si>
  <si>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</si>
  <si>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</si>
  <si>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</si>
  <si>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</si>
  <si>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</si>
  <si>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</si>
  <si>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</si>
  <si>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</si>
  <si>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</si>
  <si>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</si>
  <si>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</si>
  <si>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</si>
  <si>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</si>
  <si>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</si>
  <si>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</si>
  <si>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</si>
  <si>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</si>
  <si>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</si>
  <si>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</si>
  <si>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</si>
  <si>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</si>
  <si>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</si>
  <si>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</si>
  <si>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</si>
  <si>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</si>
  <si>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</si>
  <si>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</si>
  <si>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</si>
  <si>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</si>
  <si>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</si>
  <si>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</si>
  <si>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</si>
  <si>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</si>
  <si>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</si>
  <si>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</si>
  <si>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</si>
  <si>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</si>
  <si>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</si>
  <si>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</si>
  <si>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</si>
  <si>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</si>
  <si>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</si>
  <si>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</si>
  <si>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</si>
  <si>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</si>
  <si>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</si>
  <si>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</si>
  <si>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</si>
  <si>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</si>
  <si>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</si>
  <si>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</si>
  <si>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</si>
  <si>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</si>
  <si>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</si>
  <si>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</si>
  <si>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</si>
  <si>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</si>
  <si>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</si>
  <si>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</si>
  <si>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</si>
  <si>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</si>
  <si>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</si>
  <si>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</si>
  <si>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</si>
  <si>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</si>
  <si>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</si>
  <si>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</si>
  <si>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</si>
  <si>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</si>
  <si>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</si>
  <si>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</si>
  <si>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</si>
  <si>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</si>
  <si>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</si>
  <si>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</si>
  <si>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</si>
  <si>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</si>
  <si>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</si>
  <si>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</si>
  <si>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</si>
  <si>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</si>
  <si>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</si>
  <si>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</si>
  <si>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</si>
  <si>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</si>
  <si>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</si>
  <si>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Poznámka:</t>
  </si>
  <si>
    <t>Kód</t>
  </si>
  <si>
    <t>0</t>
  </si>
  <si>
    <t>0738731VDR00</t>
  </si>
  <si>
    <t>61529080</t>
  </si>
  <si>
    <t>61529081</t>
  </si>
  <si>
    <t>121101100R00</t>
  </si>
  <si>
    <t>122201101R00</t>
  </si>
  <si>
    <t>122201109R00</t>
  </si>
  <si>
    <t>132201110R00</t>
  </si>
  <si>
    <t>132201119R00</t>
  </si>
  <si>
    <t>162701105RT3</t>
  </si>
  <si>
    <t>162701109R00</t>
  </si>
  <si>
    <t>174101102R00</t>
  </si>
  <si>
    <t>175101101RT2</t>
  </si>
  <si>
    <t>274311116R00</t>
  </si>
  <si>
    <t>311112140RT3</t>
  </si>
  <si>
    <t>274361214R00</t>
  </si>
  <si>
    <t>273321321R00</t>
  </si>
  <si>
    <t>273351215RT1</t>
  </si>
  <si>
    <t>273361921RT4</t>
  </si>
  <si>
    <t>631312611R00</t>
  </si>
  <si>
    <t>566301111R00</t>
  </si>
  <si>
    <t>273351216R00</t>
  </si>
  <si>
    <t>311271177RT2</t>
  </si>
  <si>
    <t>311238154R00</t>
  </si>
  <si>
    <t>317351107R00</t>
  </si>
  <si>
    <t>317351108R00</t>
  </si>
  <si>
    <t>317314144R00</t>
  </si>
  <si>
    <t>342012223RT1</t>
  </si>
  <si>
    <t>342013323RT1</t>
  </si>
  <si>
    <t>347013113R00</t>
  </si>
  <si>
    <t>417321414R00</t>
  </si>
  <si>
    <t>417351111R00</t>
  </si>
  <si>
    <t>417351113R00</t>
  </si>
  <si>
    <t>417361821R00</t>
  </si>
  <si>
    <t>566501111R00</t>
  </si>
  <si>
    <t>566201111R00</t>
  </si>
  <si>
    <t>916561111RT4</t>
  </si>
  <si>
    <t>596215020R00</t>
  </si>
  <si>
    <t>592453092</t>
  </si>
  <si>
    <t>59217001</t>
  </si>
  <si>
    <t>612445510R00</t>
  </si>
  <si>
    <t>612421637R00</t>
  </si>
  <si>
    <t>612445921RT3</t>
  </si>
  <si>
    <t>610991111R00</t>
  </si>
  <si>
    <t>900      RT2</t>
  </si>
  <si>
    <t>612434254RT1</t>
  </si>
  <si>
    <t>622481291R00</t>
  </si>
  <si>
    <t>622300154R00</t>
  </si>
  <si>
    <t>622421143R00</t>
  </si>
  <si>
    <t>622311133RT5</t>
  </si>
  <si>
    <t>622311150RT5</t>
  </si>
  <si>
    <t>622311523RU1</t>
  </si>
  <si>
    <t>622311523RV1</t>
  </si>
  <si>
    <t>622311013R00</t>
  </si>
  <si>
    <t>621472122R00</t>
  </si>
  <si>
    <t>620991121R00</t>
  </si>
  <si>
    <t>622319943RT1</t>
  </si>
  <si>
    <t>632451136R00</t>
  </si>
  <si>
    <t>631361921RT1</t>
  </si>
  <si>
    <t>642942111RT3</t>
  </si>
  <si>
    <t>711</t>
  </si>
  <si>
    <t>711111006RZ3</t>
  </si>
  <si>
    <t>711141559RY1</t>
  </si>
  <si>
    <t>7111912VDRT2</t>
  </si>
  <si>
    <t>7111912VDRT1</t>
  </si>
  <si>
    <t>711212012RT3</t>
  </si>
  <si>
    <t>712</t>
  </si>
  <si>
    <t>712371801R00</t>
  </si>
  <si>
    <t>67352443</t>
  </si>
  <si>
    <t>713</t>
  </si>
  <si>
    <t>713141327R00</t>
  </si>
  <si>
    <t>28375972</t>
  </si>
  <si>
    <t>28375971</t>
  </si>
  <si>
    <t>713111111R00</t>
  </si>
  <si>
    <t>713121121R00</t>
  </si>
  <si>
    <t>28375705</t>
  </si>
  <si>
    <t>713131131RT2</t>
  </si>
  <si>
    <t>6348309VD</t>
  </si>
  <si>
    <t>721</t>
  </si>
  <si>
    <t>7211709VDR00</t>
  </si>
  <si>
    <t>721176103R00</t>
  </si>
  <si>
    <t>721176105R00</t>
  </si>
  <si>
    <t>721176222R00</t>
  </si>
  <si>
    <t>721176223R00</t>
  </si>
  <si>
    <t>721290111R00</t>
  </si>
  <si>
    <t>286972VD</t>
  </si>
  <si>
    <t>721176101R00</t>
  </si>
  <si>
    <t>721176104R00</t>
  </si>
  <si>
    <t>721177124R00</t>
  </si>
  <si>
    <t>721177125R00</t>
  </si>
  <si>
    <t>721242112R00</t>
  </si>
  <si>
    <t>722</t>
  </si>
  <si>
    <t>722172311R00</t>
  </si>
  <si>
    <t>722172331R00</t>
  </si>
  <si>
    <t>722202213R00</t>
  </si>
  <si>
    <t>722290821R00</t>
  </si>
  <si>
    <t>7221109VDR00</t>
  </si>
  <si>
    <t>722172312R00</t>
  </si>
  <si>
    <t>722172332R00</t>
  </si>
  <si>
    <t>722202512R00</t>
  </si>
  <si>
    <t>722202513R00</t>
  </si>
  <si>
    <t>7222651VDR00</t>
  </si>
  <si>
    <t>722238331R00</t>
  </si>
  <si>
    <t>722181213RZ6</t>
  </si>
  <si>
    <t>722181214RT8</t>
  </si>
  <si>
    <t>725</t>
  </si>
  <si>
    <t>725014131RT1</t>
  </si>
  <si>
    <t>725017134R00</t>
  </si>
  <si>
    <t>725814102R00</t>
  </si>
  <si>
    <t>7258231VDRT2</t>
  </si>
  <si>
    <t>725860109R00</t>
  </si>
  <si>
    <t>64271101</t>
  </si>
  <si>
    <t>725825111RT1</t>
  </si>
  <si>
    <t>7253291VDR00</t>
  </si>
  <si>
    <t>726211121R00</t>
  </si>
  <si>
    <t>7253391VDR00</t>
  </si>
  <si>
    <t>7258236VDRT1</t>
  </si>
  <si>
    <t>55111867</t>
  </si>
  <si>
    <t>728</t>
  </si>
  <si>
    <t>728314124R00</t>
  </si>
  <si>
    <t>728412215R00</t>
  </si>
  <si>
    <t>7281154VDR00</t>
  </si>
  <si>
    <t>42945201</t>
  </si>
  <si>
    <t>733</t>
  </si>
  <si>
    <t>733163105R00</t>
  </si>
  <si>
    <t>733163104R00</t>
  </si>
  <si>
    <t>7331619VDR00</t>
  </si>
  <si>
    <t>734</t>
  </si>
  <si>
    <t>734211112R00</t>
  </si>
  <si>
    <t>734221672RT2</t>
  </si>
  <si>
    <t>734223122RT1</t>
  </si>
  <si>
    <t>734264112R00</t>
  </si>
  <si>
    <t>734233113R00</t>
  </si>
  <si>
    <t>735</t>
  </si>
  <si>
    <t>735169211R00</t>
  </si>
  <si>
    <t>735156762R00</t>
  </si>
  <si>
    <t>762</t>
  </si>
  <si>
    <t>762341220R00</t>
  </si>
  <si>
    <t>762341630R00</t>
  </si>
  <si>
    <t>60726121</t>
  </si>
  <si>
    <t>607250361</t>
  </si>
  <si>
    <t>762332120RT2</t>
  </si>
  <si>
    <t>60725037</t>
  </si>
  <si>
    <t>762812240R00</t>
  </si>
  <si>
    <t>60623326</t>
  </si>
  <si>
    <t>763</t>
  </si>
  <si>
    <t>763734113R00</t>
  </si>
  <si>
    <t>60515280</t>
  </si>
  <si>
    <t>7637931VDR00</t>
  </si>
  <si>
    <t>764</t>
  </si>
  <si>
    <t>764904010RS4</t>
  </si>
  <si>
    <t>764322220R00</t>
  </si>
  <si>
    <t>764331230R00</t>
  </si>
  <si>
    <t>764341230R00</t>
  </si>
  <si>
    <t>764352203R00</t>
  </si>
  <si>
    <t>764359211R00</t>
  </si>
  <si>
    <t>764394230R00</t>
  </si>
  <si>
    <t>764421260R00</t>
  </si>
  <si>
    <t>764430250RT2</t>
  </si>
  <si>
    <t>764454202R00</t>
  </si>
  <si>
    <t>766</t>
  </si>
  <si>
    <t>766621264R00</t>
  </si>
  <si>
    <t>766661122R00</t>
  </si>
  <si>
    <t>61110332</t>
  </si>
  <si>
    <t>61110355</t>
  </si>
  <si>
    <t>766422213R00</t>
  </si>
  <si>
    <t>766416111R00</t>
  </si>
  <si>
    <t>767</t>
  </si>
  <si>
    <t>767995102R00</t>
  </si>
  <si>
    <t>553400402</t>
  </si>
  <si>
    <t>767995103R00</t>
  </si>
  <si>
    <t>13323021</t>
  </si>
  <si>
    <t>13323012</t>
  </si>
  <si>
    <t>13383430</t>
  </si>
  <si>
    <t>5534070VD</t>
  </si>
  <si>
    <t>771</t>
  </si>
  <si>
    <t>771575109RT6</t>
  </si>
  <si>
    <t>771471014R00</t>
  </si>
  <si>
    <t>597642031</t>
  </si>
  <si>
    <t>771212112R00</t>
  </si>
  <si>
    <t>597642000</t>
  </si>
  <si>
    <t>772</t>
  </si>
  <si>
    <t>772501140R00</t>
  </si>
  <si>
    <t>781</t>
  </si>
  <si>
    <t>781230111R00</t>
  </si>
  <si>
    <t>781475111R00</t>
  </si>
  <si>
    <t>781479711R00</t>
  </si>
  <si>
    <t>783</t>
  </si>
  <si>
    <t>783612100R00</t>
  </si>
  <si>
    <t>784</t>
  </si>
  <si>
    <t>784414301R00</t>
  </si>
  <si>
    <t>7844222VDR00</t>
  </si>
  <si>
    <t>881267311R00</t>
  </si>
  <si>
    <t>583318004</t>
  </si>
  <si>
    <t>941941031R00</t>
  </si>
  <si>
    <t>941941191RT2</t>
  </si>
  <si>
    <t>941941501R00</t>
  </si>
  <si>
    <t>941941831R00</t>
  </si>
  <si>
    <t>941955002R00</t>
  </si>
  <si>
    <t>952901111R00</t>
  </si>
  <si>
    <t>962032241R00</t>
  </si>
  <si>
    <t>965042241RT1</t>
  </si>
  <si>
    <t>762822820R00</t>
  </si>
  <si>
    <t>762341821R00</t>
  </si>
  <si>
    <t>762841821R00</t>
  </si>
  <si>
    <t>764311821R00</t>
  </si>
  <si>
    <t>962031116R00</t>
  </si>
  <si>
    <t>968061113R00</t>
  </si>
  <si>
    <t>968062245R00</t>
  </si>
  <si>
    <t>968061125R00</t>
  </si>
  <si>
    <t>968072455R00</t>
  </si>
  <si>
    <t>968062354R00</t>
  </si>
  <si>
    <t>968061112R00</t>
  </si>
  <si>
    <t>966015121R00</t>
  </si>
  <si>
    <t>973031346R00</t>
  </si>
  <si>
    <t>974031164R00</t>
  </si>
  <si>
    <t>978015291R00</t>
  </si>
  <si>
    <t>971042361R00</t>
  </si>
  <si>
    <t>9710244VDR00</t>
  </si>
  <si>
    <t>981134211R00</t>
  </si>
  <si>
    <t>981134213R00</t>
  </si>
  <si>
    <t>H01</t>
  </si>
  <si>
    <t>998011001R00</t>
  </si>
  <si>
    <t>H22</t>
  </si>
  <si>
    <t>998223011R00</t>
  </si>
  <si>
    <t>H711</t>
  </si>
  <si>
    <t>998711101R00</t>
  </si>
  <si>
    <t>H712</t>
  </si>
  <si>
    <t>998712101R00</t>
  </si>
  <si>
    <t>H713</t>
  </si>
  <si>
    <t>998713101R00</t>
  </si>
  <si>
    <t>H721</t>
  </si>
  <si>
    <t>998721101R00</t>
  </si>
  <si>
    <t>H722</t>
  </si>
  <si>
    <t>998722101R00</t>
  </si>
  <si>
    <t>H762</t>
  </si>
  <si>
    <t>998762102R00</t>
  </si>
  <si>
    <t>H763</t>
  </si>
  <si>
    <t>998763101R00</t>
  </si>
  <si>
    <t>H764</t>
  </si>
  <si>
    <t>998764101R00</t>
  </si>
  <si>
    <t>H766</t>
  </si>
  <si>
    <t>998766101R00</t>
  </si>
  <si>
    <t>H771</t>
  </si>
  <si>
    <t>998771101R00</t>
  </si>
  <si>
    <t>H781</t>
  </si>
  <si>
    <t>998781101R00</t>
  </si>
  <si>
    <t>M21</t>
  </si>
  <si>
    <t>2101900VDR00</t>
  </si>
  <si>
    <t>2102015VDR00</t>
  </si>
  <si>
    <t>2108001VDRT1</t>
  </si>
  <si>
    <t>348284VD</t>
  </si>
  <si>
    <t>3483601VD</t>
  </si>
  <si>
    <t>210111011RT2</t>
  </si>
  <si>
    <t>21011121R00</t>
  </si>
  <si>
    <t>210110501R00</t>
  </si>
  <si>
    <t>2101105VDR00</t>
  </si>
  <si>
    <t>2101100VDRT2</t>
  </si>
  <si>
    <t>2100103VDRT1</t>
  </si>
  <si>
    <t>210010312RT1</t>
  </si>
  <si>
    <t>2101915VDR00</t>
  </si>
  <si>
    <t>210800105RT1</t>
  </si>
  <si>
    <t>210800106RT1</t>
  </si>
  <si>
    <t>210800285RT3</t>
  </si>
  <si>
    <t>210810017RT3</t>
  </si>
  <si>
    <t>2108602VDR00</t>
  </si>
  <si>
    <t>2108000VDR00</t>
  </si>
  <si>
    <t>210220022RT1</t>
  </si>
  <si>
    <t>210220301RT1</t>
  </si>
  <si>
    <t>210220001RT1</t>
  </si>
  <si>
    <t>2102204VD00</t>
  </si>
  <si>
    <t>34561413</t>
  </si>
  <si>
    <t>55312002VD</t>
  </si>
  <si>
    <t>M22</t>
  </si>
  <si>
    <t>2223601VDR00</t>
  </si>
  <si>
    <t>2222802VDR00</t>
  </si>
  <si>
    <t>M46</t>
  </si>
  <si>
    <t>460030102R00</t>
  </si>
  <si>
    <t>S</t>
  </si>
  <si>
    <t>979082212R00</t>
  </si>
  <si>
    <t>979084212R00</t>
  </si>
  <si>
    <t>979086213R00</t>
  </si>
  <si>
    <t>979086112R00</t>
  </si>
  <si>
    <t>979990001R00</t>
  </si>
  <si>
    <t>979990162R00</t>
  </si>
  <si>
    <t>979011211R00</t>
  </si>
  <si>
    <t>979083117R00</t>
  </si>
  <si>
    <t>979083191R00</t>
  </si>
  <si>
    <t>979084216R00</t>
  </si>
  <si>
    <t>979084219R00</t>
  </si>
  <si>
    <t>979013112R00</t>
  </si>
  <si>
    <t>979087312R00</t>
  </si>
  <si>
    <t>979087391R00</t>
  </si>
  <si>
    <t>979017112R00</t>
  </si>
  <si>
    <t>Přístavba polytechnické dílny - ZŠ Grafická</t>
  </si>
  <si>
    <t>Dílna</t>
  </si>
  <si>
    <t>ZŠ Grafická č. 1060/13, Praha 5 - Smíchov</t>
  </si>
  <si>
    <t>Zkrácený popis</t>
  </si>
  <si>
    <t>Rozměry</t>
  </si>
  <si>
    <t>Všeobecné konstrukce a práce</t>
  </si>
  <si>
    <t>Osazování kotevních prvků pro zastřešení, vč. bednění betonáže, zajištění polohy</t>
  </si>
  <si>
    <t>Vnitřní vybavení</t>
  </si>
  <si>
    <t>Policová, regálová  stěna s pracovními deskami, dřezy a skříňkami</t>
  </si>
  <si>
    <t>Pracovní stoly</t>
  </si>
  <si>
    <t>Odkopávky a prokopávky</t>
  </si>
  <si>
    <t>Sejmutí ornice, pl. do 400 m2, přemístění do 50 m</t>
  </si>
  <si>
    <t>Odkopávky nezapažené v hor. 3 do 100 m3</t>
  </si>
  <si>
    <t>Příplatek za lepivost - odkopávky v hor. 3</t>
  </si>
  <si>
    <t>Hloubené vykopávky</t>
  </si>
  <si>
    <t>Hloubení rýh š.do 60 cm v hor.3 do 50 m3, STROJNĚ</t>
  </si>
  <si>
    <t>Přípl.za lepivost,hloubení rýh 60 cm,hor.3,STROJNĚ</t>
  </si>
  <si>
    <t>Hloubení rýh š.do 60 cm v hor.3 do 50 m3, STROJNĚ, kanalizace dešťová</t>
  </si>
  <si>
    <t>Přemístění výkopku</t>
  </si>
  <si>
    <t>Vodorovné přemístění výkopku z hor.1-4 do 10000 m</t>
  </si>
  <si>
    <t>Vodorovné přemístění výkopku z hor.1-4 do 10000 m, kanalizace dešťová</t>
  </si>
  <si>
    <t>Příplatek k vod. přemístění hor.1-4 za další 1 km, kanalizace</t>
  </si>
  <si>
    <t>Příplatek k vod. přemístění hor.1-4 za další 1 km</t>
  </si>
  <si>
    <t>Konstrukce ze zemin</t>
  </si>
  <si>
    <t>Zásyp ruční se zhutněním</t>
  </si>
  <si>
    <t>Obsyp potrubí bez prohození sypaniny, dešťová kanalizace</t>
  </si>
  <si>
    <t>Základy</t>
  </si>
  <si>
    <t>Beton základ. pasů prostý z cem. portland. C 16/20</t>
  </si>
  <si>
    <t>Stěna z tvárnic ztraceného bednění, tl. 30 cm</t>
  </si>
  <si>
    <t>Výztuž základových pasů do 12 mm z oceli 10505 (R)</t>
  </si>
  <si>
    <t>Železobeton základových desek C 20/25, XC2</t>
  </si>
  <si>
    <t>Bednění stěn základových desek - zřízení</t>
  </si>
  <si>
    <t>Výztuž základových desek ze svařovaných sítí</t>
  </si>
  <si>
    <t>Mazanina betonová tl. 5 - 8 cm C 16/20, podklad. beton pod pasy</t>
  </si>
  <si>
    <t>Úprava podkladu kamenivem drceným do 0,06 m3/m2 - 8/16</t>
  </si>
  <si>
    <t>Bednění stěn základových desek - odstranění</t>
  </si>
  <si>
    <t>Zdi podpěrné a volné</t>
  </si>
  <si>
    <t>Zdivo z tvárnic porobetonových hladkých tl. 30 cm</t>
  </si>
  <si>
    <t>Zdivo z keramických svisle děrovaných tvárnic broušených P15, tl. 300 mm</t>
  </si>
  <si>
    <t>Bednění překladů - zřízení</t>
  </si>
  <si>
    <t>Bednění překladů - odstranění</t>
  </si>
  <si>
    <t>Podbetonování zhlaví nosníků, zdivo šířky 440 mm</t>
  </si>
  <si>
    <t>Stěny a příčky</t>
  </si>
  <si>
    <t>Příčka SDK tl.100mm,ocel.kce,1x oplášť.,RBI 12,5mm</t>
  </si>
  <si>
    <t>Příčka SDKtl.125 mm,ocel.kce,2x oplášť.,RBI 12,5mm</t>
  </si>
  <si>
    <t>Předstěna SDK,tl.55mm,1xoc.kce CD,1xRBI 12,5mm,izo</t>
  </si>
  <si>
    <t>Stropy a stropní konstrukce (pro pozemní stavby)</t>
  </si>
  <si>
    <t>Ztužující pásy a věnce z betonu železového C 25/30 XC1</t>
  </si>
  <si>
    <t>Bednění ztužujících věnců, obě strany - zřízení</t>
  </si>
  <si>
    <t>Bednění ztužujících věnců, obě strany - odstranění</t>
  </si>
  <si>
    <t>Výztuž ztužujících pásů a věnců z oceli 10505(R)</t>
  </si>
  <si>
    <t>Podkladní vrstvy komunikací, letišť a ploch</t>
  </si>
  <si>
    <t>Úprava krytu kamenivem drceným do 0,10 m3/m2</t>
  </si>
  <si>
    <t>Úprava krytu kamenivem drceným do 0,04 m3/m2</t>
  </si>
  <si>
    <t>Osazení záhon.obrubníků do lože z C 12/15 s opěrou</t>
  </si>
  <si>
    <t>Úprava krytu kamenivem drceným do 0,10 m3/m2, pod desku</t>
  </si>
  <si>
    <t>Kryty pozemních komunikací, letišť a ploch dlážděných (předlažby)</t>
  </si>
  <si>
    <t>Kladení zámkové dlažby tl. 6 cm do drtě tl. 3 cm</t>
  </si>
  <si>
    <t>Obrubník parkový betonový 100x250x1000 mm</t>
  </si>
  <si>
    <t>Úprava povrchů vnitřní</t>
  </si>
  <si>
    <t>Omítka sádrová , penetrace, tl. 10 mm</t>
  </si>
  <si>
    <t>Omítka vnitřní zdiva, MVC, štuková</t>
  </si>
  <si>
    <t>Omítka sádrová vnitřního ostění - hladká</t>
  </si>
  <si>
    <t>Zakrývání výplní vnitřních otvorů</t>
  </si>
  <si>
    <t>HZS- provedení detailů a doplňk.sanačních prací, odvlhčení, oddělení stáv. a nových konstrukcí</t>
  </si>
  <si>
    <t>Omítkový sanační systém, 4vrst, vyrovnání do 20 mm,s krystal. přísadou, jádro 2x, štuk</t>
  </si>
  <si>
    <t>Úprava povrchů vnější</t>
  </si>
  <si>
    <t>Montáž výztužné lišty rohové a dilatační</t>
  </si>
  <si>
    <t>Montáž zakládací sady ETICS</t>
  </si>
  <si>
    <t>Omítka vnější stěn, MVC, štuková, složitost 1-2</t>
  </si>
  <si>
    <t>Zateplovací systém , fasáda, EPS F tl.120 mm</t>
  </si>
  <si>
    <t>Povrchová úprava ostění KZS s EPS F</t>
  </si>
  <si>
    <t>Zateplovací systém , sokl, XPS tl. 120 mm</t>
  </si>
  <si>
    <t>Zateplovací systém, sokl, XPS tl. 120 mm, zakončený stěrkou a výztuž. tkaninou</t>
  </si>
  <si>
    <t>Soklová lišta hliník  tl. 120 mm</t>
  </si>
  <si>
    <t>Omítka podhl. vnější z SMS minerál. , římsa</t>
  </si>
  <si>
    <t>Zakrývání výplní vnějších otvorů z lešení</t>
  </si>
  <si>
    <t>Přizdívka silikátová TI deska tl.100 mm, štítová stěna</t>
  </si>
  <si>
    <t>Podlahy a podlahové konstrukce</t>
  </si>
  <si>
    <t>Potěr pískocementový hlazený dřev. hlad. tl. 50 mm</t>
  </si>
  <si>
    <t>Výztuž mazanin svařovanou sítí</t>
  </si>
  <si>
    <t>Výplně otvorů</t>
  </si>
  <si>
    <t>Osazení zárubní dveřních ocelových, pl. do 2,5 m2, vč. dodávky zárubně</t>
  </si>
  <si>
    <t>Izolace proti vodě</t>
  </si>
  <si>
    <t>Izolace proti vlhkosti vodor.,nátěr penetr.emulzí</t>
  </si>
  <si>
    <t>Izolace proti zem.vlhkosti dodatečná - vrty, aplikace injekt.látky,osazení pakrů, injekt.roztok</t>
  </si>
  <si>
    <t>Izolační fabion, propojení izolace stěny s podlahou</t>
  </si>
  <si>
    <t>Sanace Hydroizolační stěrka hybridní, 2-komp, svislá zem.vlhkost, 3mm vč penetrace</t>
  </si>
  <si>
    <t>Izolace střech (živičné krytiny)</t>
  </si>
  <si>
    <t>Povlaková krytina střech do 10°, separační folie pod plech. krytinu - mont.</t>
  </si>
  <si>
    <t xml:space="preserve"> II fólie separační a mikrovent.</t>
  </si>
  <si>
    <t>Izolace tepelné</t>
  </si>
  <si>
    <t>Izolace tepelná střech do tl.300 mm,2vrstvy,kotvy</t>
  </si>
  <si>
    <t>Izolace tepelné stropů spodem - demontáž</t>
  </si>
  <si>
    <t>Izolace tepelná podlah na sucho, dvouvrstvá</t>
  </si>
  <si>
    <t>Deska izolační stabilizov. EPS 150  1000 x 500 mm</t>
  </si>
  <si>
    <t>Izolace tepelná stěn - podprahový profil EPS</t>
  </si>
  <si>
    <t>Podprahový profil EPS dodávka</t>
  </si>
  <si>
    <t>Vnitřní kanalizace</t>
  </si>
  <si>
    <t>Oprava potrubí PVC odpadní, napojení na stávající D 110, kotevní mat., rev.dv.,napoj.dešť.k.</t>
  </si>
  <si>
    <t>Potrubí HT připojovací D 50 x 1,8 mm</t>
  </si>
  <si>
    <t>Potrubí HT připojovací D 110 x 2,7 mm</t>
  </si>
  <si>
    <t>Potrubí KG svodné (ležaté) v zemi D 110 x 3,2 mm, dešťová kanalizace</t>
  </si>
  <si>
    <t>Potrubí KG svodné (ležaté) v zemi D 125 x 3,2 mm, dešťová kanal.+splašková</t>
  </si>
  <si>
    <t>Zkouška těsnosti kanalizace vodou DN 125</t>
  </si>
  <si>
    <t>REviz.šachta dešť.kanal.140 cm,poklop, vstupy 3x vč. mont.</t>
  </si>
  <si>
    <t>Ostatní práce na kanalizaci vnitřní a dešťové</t>
  </si>
  <si>
    <t>Potrubí HT připojovací D 32 x 1,8 mm</t>
  </si>
  <si>
    <t>Potrubí HT připojovací D 75 x 1,9 mm</t>
  </si>
  <si>
    <t>Čisticí kus , odpadní svislé D 75</t>
  </si>
  <si>
    <t>Čisticí kus , odpadní svislé D 110</t>
  </si>
  <si>
    <t>Lapač střešních splavenin HL600NHO D 110 až 125 mm</t>
  </si>
  <si>
    <t>Vnitřní vodovod</t>
  </si>
  <si>
    <t>Potrubí z PPR, studená, D 20x2,8 mm, vč.zed.výpom.</t>
  </si>
  <si>
    <t>Potrubí z PPR, teplá, D 20x3,4 mm, vč. zed. výpom.</t>
  </si>
  <si>
    <t>Nástěnka  D 20xR1/2</t>
  </si>
  <si>
    <t>Přesun vybouraných hmot - vodovody, H do 6 m</t>
  </si>
  <si>
    <t>Ostatní práce na vodovodu vnitřním</t>
  </si>
  <si>
    <t>Potrubí z PPR, D 25x3,5 mm, PN 16, vč.zed.výpom.</t>
  </si>
  <si>
    <t>Potrubí z PPR, D 25x4,2 mm, PN 20, vč. zed. výpom.</t>
  </si>
  <si>
    <t>Ventil přímý PP-R D 20x1/2"</t>
  </si>
  <si>
    <t>Ventil přímý PP-R  25x3/4"</t>
  </si>
  <si>
    <t>Vodoměr domovní SV, TV s možností dálkového odečtu</t>
  </si>
  <si>
    <t>Ventil vod.uzav.přímý,s vypouš. DN15</t>
  </si>
  <si>
    <t>Izolace návleková PRO tl. stěny 13 mm</t>
  </si>
  <si>
    <t>Izolace návleková  PRO tl. stěny 20 mm</t>
  </si>
  <si>
    <t>Zařizovací předměty</t>
  </si>
  <si>
    <t>Klozet závěsný  + sedátko, bílý</t>
  </si>
  <si>
    <t>Umyvadlo na šrouby 60 x 45 cm, bílé</t>
  </si>
  <si>
    <t>Ventil rohový  DN 15 x DN 10</t>
  </si>
  <si>
    <t>Baterie umyvadlová stoján. ruční, nerezová</t>
  </si>
  <si>
    <t>Uzávěrka zápachová umyvadlová T 1016,D 40</t>
  </si>
  <si>
    <t>Výlevka vnitřní se sklopnou plastovou mřížkou, DN 110</t>
  </si>
  <si>
    <t>Baterie umyvadlová nástěnná ruční pro výlevku inter.</t>
  </si>
  <si>
    <t>Dodávka a Montáž mycího koryta dl. 1700mm+2x odpad DN50, nerez</t>
  </si>
  <si>
    <t>Modul-WC, h 108 cm, předstěnový pro zazdění</t>
  </si>
  <si>
    <t>Dodávka a Montáž výlevky exteriérové, DN 50</t>
  </si>
  <si>
    <t>Baterie umyv. stojánk. se sprškou nerez.(kuchyňs.páková)</t>
  </si>
  <si>
    <t>Vzduchotechnika</t>
  </si>
  <si>
    <t>Montáž protidešť. žaluzie kruhové do d 600 mm</t>
  </si>
  <si>
    <t>Montáž výústek</t>
  </si>
  <si>
    <t>Montáž VZT a potrubí SPIRO 125-27m, 350/180 - 19,5m, vč. TI</t>
  </si>
  <si>
    <t>Rozvod potrubí</t>
  </si>
  <si>
    <t>Potrubí z měděných trubek vytápění D 28 x 1,5 mm</t>
  </si>
  <si>
    <t>Potrubí z měděných trubek vytápění D 22 x 1,0 mm</t>
  </si>
  <si>
    <t>Ostatní práce na vytápění</t>
  </si>
  <si>
    <t>Armatury</t>
  </si>
  <si>
    <t>Ventily odvzdušňovací ot.těles V 4320, G 1/4"</t>
  </si>
  <si>
    <t>Hlavice ovládání ventilů termostat. RD 80 R</t>
  </si>
  <si>
    <t>Otopná tělesa</t>
  </si>
  <si>
    <t>Montáž otop. těles trubk.s Al lamelami do 1840 mm</t>
  </si>
  <si>
    <t>Konstrukce tesařské</t>
  </si>
  <si>
    <t>M. bedn.střech rovn. z aglomer.desek šroubováním, záklop stropu</t>
  </si>
  <si>
    <t>M. bedn.střech rovn. z aglomer.desek šroubováním pod plech. krytinu</t>
  </si>
  <si>
    <t>Bednění okapových říms z desek tvrdých</t>
  </si>
  <si>
    <t>Deska dřevoštěpková OSB 3 B - 4PD tl. 18 mm , záklop</t>
  </si>
  <si>
    <t>Deska dřevoštěpková OSB ECO 3 N tl. 25 mm, římsy a zesílení</t>
  </si>
  <si>
    <t>Montáž vázaných krovů pravidelných do 224 cm2 - pozednice</t>
  </si>
  <si>
    <t>Deska dřevoštěpková OSB ECO 3 N - 4PD tl. 15 mm, střecha nad TI</t>
  </si>
  <si>
    <t>Montáž záklopu, vrchní na sraz, překližka</t>
  </si>
  <si>
    <t>Překližka vodovzdorná  tl. 27 mm jak. C+/C, podhledy</t>
  </si>
  <si>
    <t>Dřevostavby</t>
  </si>
  <si>
    <t>Montáž krokví hoblovaných vysušených 140/240 mm</t>
  </si>
  <si>
    <t>Hranol hoblovaný vysušený - krokve 140/240 mm - dodávka</t>
  </si>
  <si>
    <t>Ostatní práce na dřevostavbách - kotvení ap.</t>
  </si>
  <si>
    <t>Konstrukce klempířské</t>
  </si>
  <si>
    <t>Plechová krytina - falcovaný plech v barvě hlavní střechy tl. 0,7 mm</t>
  </si>
  <si>
    <t>Oplechování okapů Pz, tvrdá krytina, rš 330 mm</t>
  </si>
  <si>
    <t>Lemování z Pz plechu zdí, tvrdá krytina, rš 330 mm</t>
  </si>
  <si>
    <t>Lemování trub Pz, vlnitá krytina, D do 150 mm</t>
  </si>
  <si>
    <t>Žlaby z Pz plechu podokapní půlkruhové, rš 330 mm</t>
  </si>
  <si>
    <t>Kotlík z Pz plechu kónický pro trouby D do 100 mm</t>
  </si>
  <si>
    <t>Podkladní pás z Pz plechu rš 250 mm</t>
  </si>
  <si>
    <t>Oplechování říms z Pz plechu, rš 400 mm</t>
  </si>
  <si>
    <t>Oplechování zdí z Pz plechu, rš 600 mm</t>
  </si>
  <si>
    <t>Odpadní trouby z Pz plechu, kruhové, D 100 mm</t>
  </si>
  <si>
    <t>Konstrukce truhlářské</t>
  </si>
  <si>
    <t>Okna komplet. jednoduchá do rámů pl. nad 1,5 m2, W1</t>
  </si>
  <si>
    <t>Montáž dveří do zárubně,otevíravých 1kř.nad 0,8 m</t>
  </si>
  <si>
    <t>Okno dřevěné s trojsklem 110/245 s bezpečnostním sklem a s trojskly, dle tab. W1</t>
  </si>
  <si>
    <t>Dveře vstupní dřevěné s trojskly s bezpečnost. sklem 110/245</t>
  </si>
  <si>
    <t>Obložení podhledů  a říms deskami</t>
  </si>
  <si>
    <t>Obložení římsy staré budovy pod oplechování</t>
  </si>
  <si>
    <t>Konstrukce doplňkové stavební (zámečnické)</t>
  </si>
  <si>
    <t>Výroba a montáž kov. atypických konstr. do 10 kg - kotvení tesařských prvků</t>
  </si>
  <si>
    <t>Poklop GA 80 050, 600x600x95 mm</t>
  </si>
  <si>
    <t>Výroba a montáž kov. atypických konstr. do 20 kg, kotevní prvky, pozinkované</t>
  </si>
  <si>
    <t>Tyč ocelová plochá jakost S355  100x16 mm</t>
  </si>
  <si>
    <t>Tyč ocelová plochá jakost S355  100x10 mm</t>
  </si>
  <si>
    <t>Tyč průřezu IPE 160, střední, jakost oceli S235</t>
  </si>
  <si>
    <t>Dveře ocelové, nátěr práškovou barvou - 700x1970 L,P, vč. mont. a kování</t>
  </si>
  <si>
    <t>Podlahy z dlaždic</t>
  </si>
  <si>
    <t>Montáž podlah keram.,hladké, tmel, 30x30 cm</t>
  </si>
  <si>
    <t>Obklad soklíků keram.rovných do MC,20x10, H 10 cm</t>
  </si>
  <si>
    <t>Dlažba matná šedá protiskluz. SB 300x300x9 mm</t>
  </si>
  <si>
    <t>Kladení dlažby keramické do TM, vel. do 200x200 mm</t>
  </si>
  <si>
    <t>Dlažba  matná 100x100x9 mm</t>
  </si>
  <si>
    <t>Podlahy z přírodního a konglomerovaného kamene</t>
  </si>
  <si>
    <t>Dlažba z kamene,obložení u soklu vně, přes pěnové sklo, vč. dodávky dlažby</t>
  </si>
  <si>
    <t>Obklady (keramické)</t>
  </si>
  <si>
    <t>Obkládání stěn vnitř.keram. do tmele do 100x100 mm</t>
  </si>
  <si>
    <t>Obkladačka keram., matná 100x100x9 mm</t>
  </si>
  <si>
    <t>Obklad vnitřní stěn keramický, do tmele, 10x10 cm</t>
  </si>
  <si>
    <t>Příplatek k obkladu stěn keram.,za plochu do 10 m2</t>
  </si>
  <si>
    <t>Nátěry</t>
  </si>
  <si>
    <t>Nátěr voskem podhledu z OSB</t>
  </si>
  <si>
    <t>Malby</t>
  </si>
  <si>
    <t>Penetrace podkladu nátěrem</t>
  </si>
  <si>
    <t>Malba silikátová na sanační omítky 2x, pačok 2x, místn. do 3,8 m</t>
  </si>
  <si>
    <t>Potrubí z drenážek</t>
  </si>
  <si>
    <t>Potrubí z drenážních trubek, výměna trubek DN 100</t>
  </si>
  <si>
    <t>Kamenivo těžené frakce  16/32, zásyp drenáží</t>
  </si>
  <si>
    <t>Lešení a stavební výtahy</t>
  </si>
  <si>
    <t>Montáž lešení leh.řad.s podlahami,š.do 1 m, H 10 m</t>
  </si>
  <si>
    <t>Příplatek za každý měsíc použití lešení k pol.1031</t>
  </si>
  <si>
    <t>Doprava 1 m2 fasádního lešení (dovoz a odvoz)</t>
  </si>
  <si>
    <t>Demontáž lešení leh.řad.s podlahami,š.1 m, H 10 m</t>
  </si>
  <si>
    <t>Lešení lehké pomocné, výška podlahy do 1,9 m</t>
  </si>
  <si>
    <t>Různé dokončovací konstrukce a práce na pozemních stavbách</t>
  </si>
  <si>
    <t>Vyčištění budov o výšce podlaží do 4 m</t>
  </si>
  <si>
    <t>Bourání konstrukcí</t>
  </si>
  <si>
    <t>Bourání zdiva z cihel pálených na MC</t>
  </si>
  <si>
    <t>Bourání stávajících podlah betonových</t>
  </si>
  <si>
    <t>Demontáž stropnic z řeziva o pl.do 288 cm2</t>
  </si>
  <si>
    <t>Demontáž bednění střech rovných z fošen hrubých</t>
  </si>
  <si>
    <t>Demontáž podbíjení obkladů stropů z desek dřevotř.</t>
  </si>
  <si>
    <t>Demontáž krytiny, tabule 2 x 1 m, do 25 m2, do 30°</t>
  </si>
  <si>
    <t>Bourání příček z cihel pálených plných tl. 140 mm</t>
  </si>
  <si>
    <t>Vyvěšení dřevěných okenních křídel pl. nad 1,5 m2</t>
  </si>
  <si>
    <t>Vybourání dřevěných rámů oken jednoduch. pl. 2 m2</t>
  </si>
  <si>
    <t>Vyvěšení dřevěných dveřních křídel pl. do 2 m2</t>
  </si>
  <si>
    <t>Vybourání kovových dveřních zárubní pl. do 2 m2</t>
  </si>
  <si>
    <t>Vybourání dřevěných rámů oken dvojitých pl. 1 m2</t>
  </si>
  <si>
    <t>Vyvěšení dřevěných okenních křídel pl. do 1,5 m2</t>
  </si>
  <si>
    <t>Bourání plotových stříšek ze ŽB prefabrikovaných desek</t>
  </si>
  <si>
    <t>Vysekání kapes zeď cih. MVC pl. 0,25 m2, hl. 45 cm</t>
  </si>
  <si>
    <t>Prorážení otvorů a ostatní bourací práce</t>
  </si>
  <si>
    <t>Vysekání rýh ve zdi cihelné 15 x 15 cm</t>
  </si>
  <si>
    <t>Otlučení omítek vnějších MVC v složit.1-4 do 100 %</t>
  </si>
  <si>
    <t>Vybourání otvorů zdi betonové pro kanalizaci. 0,09 m2, tl.60cm</t>
  </si>
  <si>
    <t>Výpomoce řemeslům - ZT,UT,VZT-bourání,plentování,zazdívání</t>
  </si>
  <si>
    <t>Demolice</t>
  </si>
  <si>
    <t>Demolice ocel. kolny, do 15 kg/ m3 OP</t>
  </si>
  <si>
    <t>Demolice skleníku</t>
  </si>
  <si>
    <t>Budovy občanské výstavby</t>
  </si>
  <si>
    <t>Přesun hmot pro budovy zděné výšky do 6 m</t>
  </si>
  <si>
    <t>Komunikace pozemní a letiště</t>
  </si>
  <si>
    <t>Přesun hmot, pozemní komunikace, kryt dlážděný</t>
  </si>
  <si>
    <t>Přesun hmot pro izolace proti vodě, výšky do 6 m</t>
  </si>
  <si>
    <t>Přesun hmot pro povlakové krytiny, výšky do 6 m</t>
  </si>
  <si>
    <t>Přesun hmot pro izolace tepelné, výšky do 6 m</t>
  </si>
  <si>
    <t>Přesun hmot pro vnitřní kanalizaci, výšky do 6 m</t>
  </si>
  <si>
    <t>Přesun hmot pro vnitřní vodovod, výšky do 6 m</t>
  </si>
  <si>
    <t>Přesun hmot pro tesařské konstrukce, výšky do 12 m</t>
  </si>
  <si>
    <t>Přesun hmot pro dřevostavby, výšky do 12 m</t>
  </si>
  <si>
    <t>Přesun hmot pro klempířské konstr., výšky do 6 m</t>
  </si>
  <si>
    <t>Přesun hmot pro truhlářské konstr., výšky do 6 m</t>
  </si>
  <si>
    <t>Přesun hmot pro podlahy z dlaždic, výšky do 6 m</t>
  </si>
  <si>
    <t>Přesun hmot pro obklady keramické, výšky do 6 m</t>
  </si>
  <si>
    <t>Elektromontáže</t>
  </si>
  <si>
    <t>Dozbrojení  rozvaděče stávajícího - RS1 dle PD</t>
  </si>
  <si>
    <t>L1 Svítidlo LED zavěšené, IP 20, 30W,4000K, 230V</t>
  </si>
  <si>
    <t>L3 Svítidlo LED přisazené, kulaté, 230V, 20W, 4000K, IP44</t>
  </si>
  <si>
    <t>L4 - Svítidlo LED přisazené, kulaté, 230V, 20W, IP44, 4000K</t>
  </si>
  <si>
    <t>Montáž elektroinstalace -revize, ostat.mat., prostupy a pož. ucpávky, dokum. skut. provedení</t>
  </si>
  <si>
    <t>N1 Svítidlo nouzové LED 2W, 230 V, IP 44, vlast. bater. zdroj, přisazené stropní</t>
  </si>
  <si>
    <t>N2 Svítidlo nouzové, přisazené LED , IP 44, 2W, nástěnné, piktogram, vlastní zdroj</t>
  </si>
  <si>
    <t>Montáž a dod.celoplechových rozvodnic nástěných 60/60/20 cm,- RW1 dle PD</t>
  </si>
  <si>
    <t>Zásuvka domovní zapuštěná - provedení 2P+PE, IP44, 16A/230V</t>
  </si>
  <si>
    <t>Zásuvka 16A/230V, na povrch, IP44</t>
  </si>
  <si>
    <t>Vypínač jednopolový 10A/250V, pod omítku IP44</t>
  </si>
  <si>
    <t>Přepínač střídavý 10A/250V, pod omítku, IP44</t>
  </si>
  <si>
    <t>Tlačítko 10A/250V, pod omítku IP44</t>
  </si>
  <si>
    <t>Krabice přístrojová KP, kruhová</t>
  </si>
  <si>
    <t>Krabice odbočná KO</t>
  </si>
  <si>
    <t>Přípojnice ekvipotenciální</t>
  </si>
  <si>
    <t>Kabel CYKY 750 V 3x1,5 mm2 uložený pod omítkou</t>
  </si>
  <si>
    <t>Kabel CYKY 750 V 3x2,5 mm2 uložený pod omítkou</t>
  </si>
  <si>
    <t>Kabel bezhalogenový CXKH 3 x 1,5 mm2 pevně uložený</t>
  </si>
  <si>
    <t>Kabel CYKY-5x10</t>
  </si>
  <si>
    <t>Kabel speciální JYTY  2 x 0,75mm, vč. dodávky kabelu</t>
  </si>
  <si>
    <t>Vodič YY 1x16</t>
  </si>
  <si>
    <t>Vedení uzemňovací  FeZn, D 8 - 10 mm</t>
  </si>
  <si>
    <t>Svorka hromosvodové spojovací, připoj., univerz., zkušební</t>
  </si>
  <si>
    <t>Vedení uzemňovací na povrchu FeZn do 120 mm2</t>
  </si>
  <si>
    <t>Ostatní práce na hromosvodu - podpěry vedení zdivo a střecha, drobný materiál</t>
  </si>
  <si>
    <t>Kabelový žlab 200/50 mm</t>
  </si>
  <si>
    <t>Montáže sdělovací a zabezpečovací techniky</t>
  </si>
  <si>
    <t>Reproduktor 100V/6W</t>
  </si>
  <si>
    <t>Kabel UTP vč. dodávky</t>
  </si>
  <si>
    <t>Zemní práce při montážích</t>
  </si>
  <si>
    <t>Vytrhání obrubníků, lože MC, stojatých</t>
  </si>
  <si>
    <t>Přesuny sutí</t>
  </si>
  <si>
    <t>Vodorovná doprava suti po suchu do 50 m</t>
  </si>
  <si>
    <t>Vodorovná doprava vybour. hmot po suchu do 50 m</t>
  </si>
  <si>
    <t>Nakládání vybouraných hmot na dopravní prostředek</t>
  </si>
  <si>
    <t>Nakládání nebo překládání suti a vybouraných hmot</t>
  </si>
  <si>
    <t>Poplatek za skládku stavební suti</t>
  </si>
  <si>
    <t>Poplatek za skládku suti - dřevo+sklo</t>
  </si>
  <si>
    <t>Svislá doprava suti a vybour. hmot za 2.NP nošením</t>
  </si>
  <si>
    <t>Vodorovné přemístění suti na skládku do 6000 m</t>
  </si>
  <si>
    <t>Příplatek za dalších započatých 1000 m nad 6000 m</t>
  </si>
  <si>
    <t>Vodorovná doprava vybour. hmot po suchu do 5 km</t>
  </si>
  <si>
    <t>Příplatek k dopravě vybour.hmot za dalších 5 km</t>
  </si>
  <si>
    <t>Poplatek za skládku zeminy</t>
  </si>
  <si>
    <t>Vodorovná doprava zeminy po suchu do 50 m</t>
  </si>
  <si>
    <t>Svislá doprava materiálu do dvora na H do 3,5 m</t>
  </si>
  <si>
    <t>Vodorovné přemístění materiálu stavby do dvora nošením do 10 m</t>
  </si>
  <si>
    <t>Příplatek za nošení materiálů do dvora  každých dalších 10 m</t>
  </si>
  <si>
    <t>Svislé a vodorovné přemístění zemin nošením na H do 3,5 m, vodorovně 47 m</t>
  </si>
  <si>
    <t>Doba výstavby:</t>
  </si>
  <si>
    <t>Začátek výstavby:</t>
  </si>
  <si>
    <t>Konec výstavby:</t>
  </si>
  <si>
    <t>Zpracováno dne:</t>
  </si>
  <si>
    <t>04.04.2019</t>
  </si>
  <si>
    <t>21.09.2020</t>
  </si>
  <si>
    <t>MJ</t>
  </si>
  <si>
    <t>kg</t>
  </si>
  <si>
    <t>soubor</t>
  </si>
  <si>
    <t>m2</t>
  </si>
  <si>
    <t>kus</t>
  </si>
  <si>
    <t>m3</t>
  </si>
  <si>
    <t>t</t>
  </si>
  <si>
    <t>m</t>
  </si>
  <si>
    <t>h</t>
  </si>
  <si>
    <t>kpl</t>
  </si>
  <si>
    <t>km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</si>
  <si>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</si>
  <si>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</si>
  <si>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</si>
  <si>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</si>
  <si>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</si>
  <si>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</si>
  <si>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</si>
  <si>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Atelier H3T architekti, s.r.o.</t>
  </si>
  <si>
    <t>Atelier H3T architekti,s.r.o., Nám.Česk.povstání 2</t>
  </si>
  <si>
    <t> </t>
  </si>
  <si>
    <t>Ing. Petr FILIP</t>
  </si>
  <si>
    <t>Náklady (Kč)</t>
  </si>
  <si>
    <t>Dodávka</t>
  </si>
  <si>
    <t>Celkem:</t>
  </si>
  <si>
    <t>Montáž</t>
  </si>
  <si>
    <t>Celkem</t>
  </si>
  <si>
    <t>Cenová</t>
  </si>
  <si>
    <t>soustava</t>
  </si>
  <si>
    <t>RTS II / 2019</t>
  </si>
  <si>
    <t>RTS I / 2020</t>
  </si>
  <si>
    <t>RTS I / 2018</t>
  </si>
  <si>
    <t>RTS II / 2018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</si>
  <si>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</si>
  <si>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</si>
  <si>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</si>
  <si>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</si>
  <si>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</si>
  <si>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</si>
  <si>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</si>
  <si>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</si>
  <si>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</si>
  <si>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0_</t>
  </si>
  <si>
    <t>100_</t>
  </si>
  <si>
    <t>12_</t>
  </si>
  <si>
    <t>13_</t>
  </si>
  <si>
    <t>16_</t>
  </si>
  <si>
    <t>17_</t>
  </si>
  <si>
    <t>27_</t>
  </si>
  <si>
    <t>31_</t>
  </si>
  <si>
    <t>34_</t>
  </si>
  <si>
    <t>41_</t>
  </si>
  <si>
    <t>56_</t>
  </si>
  <si>
    <t>59_</t>
  </si>
  <si>
    <t>61_</t>
  </si>
  <si>
    <t>62_</t>
  </si>
  <si>
    <t>63_</t>
  </si>
  <si>
    <t>64_</t>
  </si>
  <si>
    <t>711_</t>
  </si>
  <si>
    <t>712_</t>
  </si>
  <si>
    <t>713_</t>
  </si>
  <si>
    <t>721_</t>
  </si>
  <si>
    <t>722_</t>
  </si>
  <si>
    <t>725_</t>
  </si>
  <si>
    <t>728_</t>
  </si>
  <si>
    <t>733_</t>
  </si>
  <si>
    <t>734_</t>
  </si>
  <si>
    <t>735_</t>
  </si>
  <si>
    <t>762_</t>
  </si>
  <si>
    <t>763_</t>
  </si>
  <si>
    <t>764_</t>
  </si>
  <si>
    <t>766_</t>
  </si>
  <si>
    <t>767_</t>
  </si>
  <si>
    <t>771_</t>
  </si>
  <si>
    <t>772_</t>
  </si>
  <si>
    <t>781_</t>
  </si>
  <si>
    <t>783_</t>
  </si>
  <si>
    <t>784_</t>
  </si>
  <si>
    <t>88_</t>
  </si>
  <si>
    <t>94_</t>
  </si>
  <si>
    <t>95_</t>
  </si>
  <si>
    <t>96_</t>
  </si>
  <si>
    <t>97_</t>
  </si>
  <si>
    <t>98_</t>
  </si>
  <si>
    <t>H01_</t>
  </si>
  <si>
    <t>H22_</t>
  </si>
  <si>
    <t>H711_</t>
  </si>
  <si>
    <t>H712_</t>
  </si>
  <si>
    <t>H713_</t>
  </si>
  <si>
    <t>H721_</t>
  </si>
  <si>
    <t>H722_</t>
  </si>
  <si>
    <t>H762_</t>
  </si>
  <si>
    <t>H763_</t>
  </si>
  <si>
    <t>H764_</t>
  </si>
  <si>
    <t>H766_</t>
  </si>
  <si>
    <t>H771_</t>
  </si>
  <si>
    <t>H781_</t>
  </si>
  <si>
    <t>M21_</t>
  </si>
  <si>
    <t>M22_</t>
  </si>
  <si>
    <t>M46_</t>
  </si>
  <si>
    <t>S_</t>
  </si>
  <si>
    <t>1_</t>
  </si>
  <si>
    <t>2_</t>
  </si>
  <si>
    <t>3_</t>
  </si>
  <si>
    <t>4_</t>
  </si>
  <si>
    <t>5_</t>
  </si>
  <si>
    <t>6_</t>
  </si>
  <si>
    <t>71_</t>
  </si>
  <si>
    <t>72_</t>
  </si>
  <si>
    <t>73_</t>
  </si>
  <si>
    <t>76_</t>
  </si>
  <si>
    <t>77_</t>
  </si>
  <si>
    <t>78_</t>
  </si>
  <si>
    <t>8_</t>
  </si>
  <si>
    <t>9_</t>
  </si>
  <si>
    <t>_</t>
  </si>
  <si>
    <t>MAT</t>
  </si>
  <si>
    <t>WORK</t>
  </si>
  <si>
    <t>CELK</t>
  </si>
  <si>
    <t>Slepý stavební rozpočet - rekapitulace</t>
  </si>
  <si>
    <t>Objekt</t>
  </si>
  <si>
    <t>Náklady (Kč) - dodávka</t>
  </si>
  <si>
    <t>Náklady (Kč) - Montáž</t>
  </si>
  <si>
    <t>Náklady (Kč) - celkem</t>
  </si>
  <si>
    <t>T</t>
  </si>
  <si>
    <t>Výkaz výměr</t>
  </si>
  <si>
    <t>668,68   </t>
  </si>
  <si>
    <t>2   </t>
  </si>
  <si>
    <t>1   </t>
  </si>
  <si>
    <t>16*3   </t>
  </si>
  <si>
    <t>5   </t>
  </si>
  <si>
    <t>(5+0,5+1,6+0,3)*9,5*0,2   </t>
  </si>
  <si>
    <t>0,21*5,5*9,5   </t>
  </si>
  <si>
    <t>0,31*5,6*0,31+1,5*0,3*9,5   </t>
  </si>
  <si>
    <t>15,7856   </t>
  </si>
  <si>
    <t>0,6*0,9*18   </t>
  </si>
  <si>
    <t>0,4*18*0,85   </t>
  </si>
  <si>
    <t>15,84   </t>
  </si>
  <si>
    <t>0,5*0,7*(17,5+6)   </t>
  </si>
  <si>
    <t>;splašková;0,5*0,5*7,5   </t>
  </si>
  <si>
    <t>;pro šachtu;1*0,5*0,5   </t>
  </si>
  <si>
    <t>10,35   </t>
  </si>
  <si>
    <t>15,78+14,2+5,5+15,5   </t>
  </si>
  <si>
    <t>5,2   </t>
  </si>
  <si>
    <t>20*3,4   </t>
  </si>
  <si>
    <t>50*20   </t>
  </si>
  <si>
    <t>18*0,8*0,4/2   </t>
  </si>
  <si>
    <t>;zásyp kanalizace;5,5   </t>
  </si>
  <si>
    <t>0,5*0,54*18,002   </t>
  </si>
  <si>
    <t>18*0,5   </t>
  </si>
  <si>
    <t>0,4   </t>
  </si>
  <si>
    <t>4,575*17,72*0,15+(1,55+1+7,998)*0,15*0,85-1,6*1,2*0,15+7,2*0,15*0,15   </t>
  </si>
  <si>
    <t>0,2*18   </t>
  </si>
  <si>
    <t>7,1*0,1   </t>
  </si>
  <si>
    <t>0,6*0,05*18   </t>
  </si>
  <si>
    <t>18*4,264+0,791*(9,513+0,125+0,91)-1,8*1,2   </t>
  </si>
  <si>
    <t>3,6   </t>
  </si>
  <si>
    <t>;zazdívky oken;0,85*1,5*2+1,2*0,6   </t>
  </si>
  <si>
    <t>3,12*18-1,1*2,45*2-1,1*2,45*5   </t>
  </si>
  <si>
    <t>0,25*1,1*7   </t>
  </si>
  <si>
    <t>1,925   </t>
  </si>
  <si>
    <t>20   </t>
  </si>
  <si>
    <t>0,9*3+2,049*3-0,7*2*2   </t>
  </si>
  <si>
    <t>5,055*2,75-0,7*2   </t>
  </si>
  <si>
    <t>0,91*3+1,1*3   </t>
  </si>
  <si>
    <t>0,25*0,29*18,3   </t>
  </si>
  <si>
    <t>18,31   </t>
  </si>
  <si>
    <t>0,35   </t>
  </si>
  <si>
    <t>1,45*18,001   </t>
  </si>
  <si>
    <t>26,10135   </t>
  </si>
  <si>
    <t>18,001   </t>
  </si>
  <si>
    <t>4,2*17   </t>
  </si>
  <si>
    <t>1,5*17,75*1,05   </t>
  </si>
  <si>
    <t>19   </t>
  </si>
  <si>
    <t>18*2,98-1,1*2,45*7   </t>
  </si>
  <si>
    <t>17,75*3,1+4,892*3,1*2   </t>
  </si>
  <si>
    <t>-35,5   </t>
  </si>
  <si>
    <t>0,22*(2,45*2*7+1,1*7)   </t>
  </si>
  <si>
    <t>1,1*2,45*7   </t>
  </si>
  <si>
    <t>55   </t>
  </si>
  <si>
    <t>(18,96+4)*2,9   </t>
  </si>
  <si>
    <t>(2+2+1,1+1,1)*8   </t>
  </si>
  <si>
    <t>18-7   </t>
  </si>
  <si>
    <t>;plotová zed;5*6,85+2*5   </t>
  </si>
  <si>
    <t>0,12*(2,45*2*7+1,1*7)   </t>
  </si>
  <si>
    <t>0,3*18-1,1*7*0,3   </t>
  </si>
  <si>
    <t>;izolace základů;0,65*18   </t>
  </si>
  <si>
    <t>;římsa;(0,915+0,4)*18,01   </t>
  </si>
  <si>
    <t>4,2*3,1   </t>
  </si>
  <si>
    <t>18*4,264+0,791*10,555-0,946*1,6   </t>
  </si>
  <si>
    <t>2*83,6*1,2*0,001   </t>
  </si>
  <si>
    <t>3   </t>
  </si>
  <si>
    <t>4,714*18,001+0,79*10,56   </t>
  </si>
  <si>
    <t>93,2   </t>
  </si>
  <si>
    <t>38,54   </t>
  </si>
  <si>
    <t>28,9   </t>
  </si>
  <si>
    <t>18,96*0,5+5,5*0,5   </t>
  </si>
  <si>
    <t>112   </t>
  </si>
  <si>
    <t>18,361*5,609+0,791*10,548-1,7*1,2   </t>
  </si>
  <si>
    <t>;ztratné 10%; 10,929032   </t>
  </si>
  <si>
    <t>17,9*6,3   </t>
  </si>
  <si>
    <t>0,15*112   </t>
  </si>
  <si>
    <t>49   </t>
  </si>
  <si>
    <t>74,84+2,54+1,19+2,73   </t>
  </si>
  <si>
    <t>81,3*0,14   </t>
  </si>
  <si>
    <t>;ztratné 5%; 0,5691   </t>
  </si>
  <si>
    <t>(7,548+1,086)*0,3   </t>
  </si>
  <si>
    <t>2,56*0,01   </t>
  </si>
  <si>
    <t>;ztratné 10%; 0,00256   </t>
  </si>
  <si>
    <t>7   </t>
  </si>
  <si>
    <t>11   </t>
  </si>
  <si>
    <t>;dešť.kanal.;24   </t>
  </si>
  <si>
    <t>48   </t>
  </si>
  <si>
    <t>4   </t>
  </si>
  <si>
    <t>36   </t>
  </si>
  <si>
    <t>8   </t>
  </si>
  <si>
    <t>12   </t>
  </si>
  <si>
    <t>54   </t>
  </si>
  <si>
    <t>24   </t>
  </si>
  <si>
    <t>6,392*11,128+0,8*3,7+5,6*(1,039+0,83+1,958+0,583+1,141)   </t>
  </si>
  <si>
    <t>4,5   </t>
  </si>
  <si>
    <t>0,625*17,9+0,35*17,9*2   </t>
  </si>
  <si>
    <t>112*1,1   </t>
  </si>
  <si>
    <t>23,7*1,1   </t>
  </si>
  <si>
    <t>18   </t>
  </si>
  <si>
    <t>109*1,1   </t>
  </si>
  <si>
    <t>18,01*(0,915+0,4)+1,086*(0,915+0,4)   </t>
  </si>
  <si>
    <t>18,01   </t>
  </si>
  <si>
    <t>84   </t>
  </si>
  <si>
    <t>81,3   </t>
  </si>
  <si>
    <t>;ztratné 5%; 4,065   </t>
  </si>
  <si>
    <t>5,595*7   </t>
  </si>
  <si>
    <t>6,395*12   </t>
  </si>
  <si>
    <t>3,5*1   </t>
  </si>
  <si>
    <t>1,3   </t>
  </si>
  <si>
    <t>0,14*0,24*120,705   </t>
  </si>
  <si>
    <t>;ztratné 5%; 0,2027845   </t>
  </si>
  <si>
    <t>18,3   </t>
  </si>
  <si>
    <t>5,58+18,3+5,39   </t>
  </si>
  <si>
    <t>17,878   </t>
  </si>
  <si>
    <t>3,8*2   </t>
  </si>
  <si>
    <t>4*2   </t>
  </si>
  <si>
    <t>18,01*(0,45+0,45)   </t>
  </si>
  <si>
    <t>5*30   </t>
  </si>
  <si>
    <t>440,86+101,74+126,08   </t>
  </si>
  <si>
    <t>12,56*0,001*0,3*3*(20+19)   </t>
  </si>
  <si>
    <t>7,85*0,001*0,27*2,4*20   </t>
  </si>
  <si>
    <t>15,8*0,001*0,38*20   </t>
  </si>
  <si>
    <t>;ztratné 5%; 0,006004   </t>
  </si>
  <si>
    <t>81,3-2,54-1,19-2,73   </t>
  </si>
  <si>
    <t>27,75*2-1,1*8+4,2+4,892+0,25*18   </t>
  </si>
  <si>
    <t>(6+74,6)*1,05   </t>
  </si>
  <si>
    <t>;sokle;6,5   </t>
  </si>
  <si>
    <t>2,54+1,19+2,73   </t>
  </si>
  <si>
    <t>;sokle;5*0,1   </t>
  </si>
  <si>
    <t>;ztratné 10%; 0,696   </t>
  </si>
  <si>
    <t>0,3*18,01   </t>
  </si>
  <si>
    <t>;tech.m.;1,2*(2,049+1,355)   </t>
  </si>
  <si>
    <t>;WC;2,05*(1,405*2+0,91*2)-0,7*1,97*4   </t>
  </si>
  <si>
    <t>2,05*(1,1+0,745)*2+2,05*1,9*2   </t>
  </si>
  <si>
    <t>23,4148   </t>
  </si>
  <si>
    <t>;ztratné 10%; 2,34148   </t>
  </si>
  <si>
    <t>78,6   </t>
  </si>
  <si>
    <t>3,11*(17,75+17,75+4,892+4,892)   </t>
  </si>
  <si>
    <t>3,11*4,892*2+3,11*1,65*4+3,11*0,9*2   </t>
  </si>
  <si>
    <t>198   </t>
  </si>
  <si>
    <t>;zásyp drenáže;0,7*0,5*17,5   </t>
  </si>
  <si>
    <t>18*3+5*3   </t>
  </si>
  <si>
    <t>69*1,5   </t>
  </si>
  <si>
    <t>69*20*2   </t>
  </si>
  <si>
    <t>69   </t>
  </si>
  <si>
    <t>83   </t>
  </si>
  <si>
    <t>5,055*2,7*0,345   </t>
  </si>
  <si>
    <t>0,32*(0,345+0,489+0,951+0,791+1,15+0,759+1+0,78+0,678+1,21)*2,6   </t>
  </si>
  <si>
    <t>-1,162*1,6*0,32-1,15*0,32*1,6-1,167*0,32*1,6-2*0,978*0,32   </t>
  </si>
  <si>
    <t>5,375*(0,348+0,498+0,961+0,791+1,15+0,759+1+0,76+0,978+1,21)*0,25   </t>
  </si>
  <si>
    <t>-2,5*1,21*0,2   </t>
  </si>
  <si>
    <t>9*5,5   </t>
  </si>
  <si>
    <t>49,5   </t>
  </si>
  <si>
    <t>2,5*2,7-0,6*2   </t>
  </si>
  <si>
    <t>1,16*1,8*3   </t>
  </si>
  <si>
    <t>1*1,2*2+0,9*1,2   </t>
  </si>
  <si>
    <t>3*2   </t>
  </si>
  <si>
    <t>;pro kotvení zákl.desky;0,5+1+1+14,175   </t>
  </si>
  <si>
    <t>3,1*18   </t>
  </si>
  <si>
    <t>5*2*3,1   </t>
  </si>
  <si>
    <t>2*4*2,5   </t>
  </si>
  <si>
    <t>4*7*2,5/2   </t>
  </si>
  <si>
    <t>65,2518+10,6388+0,8364+4,6658   </t>
  </si>
  <si>
    <t>4,7463+4,2133+10,0772+1,5463   </t>
  </si>
  <si>
    <t>21,5805+6,1388   </t>
  </si>
  <si>
    <t>0,6181   </t>
  </si>
  <si>
    <t>0,0635   </t>
  </si>
  <si>
    <t>1,0624   </t>
  </si>
  <si>
    <t>0,2849   </t>
  </si>
  <si>
    <t>0,4335   </t>
  </si>
  <si>
    <t>4,5503   </t>
  </si>
  <si>
    <t>2,5922   </t>
  </si>
  <si>
    <t>0,8194   </t>
  </si>
  <si>
    <t>0,4536   </t>
  </si>
  <si>
    <t>2,4882+0,1109   </t>
  </si>
  <si>
    <t>0,4945   </t>
  </si>
  <si>
    <t>15   </t>
  </si>
  <si>
    <t>6   </t>
  </si>
  <si>
    <t>17   </t>
  </si>
  <si>
    <t>230   </t>
  </si>
  <si>
    <t>120   </t>
  </si>
  <si>
    <t>10   </t>
  </si>
  <si>
    <t>30+15   </t>
  </si>
  <si>
    <t>4+6+5+1   </t>
  </si>
  <si>
    <t>60   </t>
  </si>
  <si>
    <t>75   </t>
  </si>
  <si>
    <t>9   </t>
  </si>
  <si>
    <t>17,72+23,6641+1,7742+0,29   </t>
  </si>
  <si>
    <t>0,8494+0,8415+2,2128+0,2005+0,2686   </t>
  </si>
  <si>
    <t>0,3623+1,1771   </t>
  </si>
  <si>
    <t>5,9122   </t>
  </si>
  <si>
    <t>48,3449+1,2   </t>
  </si>
  <si>
    <t>43,4485   </t>
  </si>
  <si>
    <t>49,555   </t>
  </si>
  <si>
    <t>14*44,4485   </t>
  </si>
  <si>
    <t>5,9122*15   </t>
  </si>
  <si>
    <t>59   </t>
  </si>
  <si>
    <t>51*1,8   </t>
  </si>
  <si>
    <t>170   </t>
  </si>
  <si>
    <t>170*5   </t>
  </si>
  <si>
    <t>50*1,8   </t>
  </si>
  <si>
    <t>Potřebné množství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</si>
  <si>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</si>
  <si>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</si>
  <si>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</si>
  <si>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</si>
  <si>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</si>
  <si>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</si>
  <si>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</si>
  <si>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</si>
  <si>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</si>
  <si>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</si>
  <si>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</si>
  <si>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</si>
  <si>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</si>
  <si>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</si>
  <si>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</si>
  <si>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</si>
  <si>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</si>
  <si>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</si>
  <si>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</si>
  <si>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</si>
  <si>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</si>
  <si>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</si>
  <si>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</si>
  <si>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</si>
  <si>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</si>
  <si>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</si>
  <si>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</si>
  <si>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</si>
  <si>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</si>
  <si>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</si>
  <si>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</si>
  <si>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</si>
  <si>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</si>
  <si>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</si>
  <si>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</si>
  <si>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</si>
  <si>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</si>
  <si>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</si>
  <si>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</si>
  <si>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</si>
  <si>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</si>
  <si>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</si>
  <si>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</si>
  <si>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</si>
  <si>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06604811/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</si>
  <si>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</si>
  <si>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</si>
  <si>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</si>
  <si>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</si>
  <si>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</si>
  <si>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</si>
  <si>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</si>
  <si>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</si>
  <si>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</si>
  <si>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</si>
  <si>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</si>
  <si>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</si>
  <si>
    <t>Dlažba betonová obdelníková rovné přírodní  20x10x6</t>
  </si>
  <si>
    <t xml:space="preserve">Izolace proti vlhk. vodorovná pásy přitavením, včetně dodávky </t>
  </si>
  <si>
    <t>Deska spádová EPS 150 - střecha</t>
  </si>
  <si>
    <t>Deska  EPS 100 - střecha</t>
  </si>
  <si>
    <t>mrazuvzdorný ventil  DN 20</t>
  </si>
  <si>
    <t>VZT jednotka</t>
  </si>
  <si>
    <t>Ventil termostatický, přímý,  DN 15</t>
  </si>
  <si>
    <t>Šroubení uzavírat.rohové,vnitřní z. RL-1 DN 15</t>
  </si>
  <si>
    <t>Kohout kulový, vnitř.-vnitř.z. DN 25</t>
  </si>
  <si>
    <t>Otopná tělesa panelová 700/662</t>
  </si>
  <si>
    <t>Svorka</t>
  </si>
  <si>
    <t>Dlažba rovné přírodní  20x10x6</t>
  </si>
  <si>
    <t>Izolace proti vlhk. vodorovná pásy přitavením, včetně dodávky</t>
  </si>
  <si>
    <t xml:space="preserve">VZT jednotka </t>
  </si>
  <si>
    <t>Šroubení uzavírat.rohové,vnitřní  RL-1 DN 15</t>
  </si>
  <si>
    <t>Kohout kulový, vnitř.-vnitř.z.  DN 25</t>
  </si>
  <si>
    <t>Otopná tělesa panelová  700/662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</si>
</sst>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9"/>
      <color indexed="61"/>
      <name val="Arial"/>
      <family val="0"/>
    </font>
    <font>
      <i/>
      <sz val="9"/>
      <color indexed="62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4" fillId="20" borderId="0" applyNumberFormat="0" applyBorder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4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righ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0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2" fillId="34" borderId="29" xfId="0" applyNumberFormat="1" applyFont="1" applyFill="1" applyBorder="1" applyAlignment="1" applyProtection="1">
      <alignment horizontal="center" vertical="center"/>
      <protection/>
    </xf>
    <xf numFmtId="49" fontId="13" fillId="0" borderId="30" xfId="0" applyNumberFormat="1" applyFont="1" applyFill="1" applyBorder="1" applyAlignment="1" applyProtection="1">
      <alignment horizontal="left" vertical="center"/>
      <protection/>
    </xf>
    <xf numFmtId="49" fontId="13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4" fillId="0" borderId="29" xfId="0" applyNumberFormat="1" applyFont="1" applyFill="1" applyBorder="1" applyAlignment="1" applyProtection="1">
      <alignment horizontal="right" vertical="center"/>
      <protection/>
    </xf>
    <xf numFmtId="49" fontId="14" fillId="0" borderId="29" xfId="0" applyNumberFormat="1" applyFont="1" applyFill="1" applyBorder="1" applyAlignment="1" applyProtection="1">
      <alignment horizontal="right" vertical="center"/>
      <protection/>
    </xf>
    <xf numFmtId="4" fontId="14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4" fontId="13" fillId="34" borderId="37" xfId="0" applyNumberFormat="1" applyFont="1" applyFill="1" applyBorder="1" applyAlignment="1" applyProtection="1">
      <alignment horizontal="right" vertical="center"/>
      <protection/>
    </xf>
    <xf numFmtId="0" fontId="1" fillId="0" borderId="38" xfId="0" applyNumberFormat="1" applyFont="1" applyFill="1" applyBorder="1" applyAlignment="1" applyProtection="1">
      <alignment vertical="center"/>
      <protection/>
    </xf>
    <xf numFmtId="0" fontId="1" fillId="0" borderId="39" xfId="0" applyNumberFormat="1" applyFont="1" applyFill="1" applyBorder="1" applyAlignment="1" applyProtection="1">
      <alignment vertical="center"/>
      <protection/>
    </xf>
    <xf numFmtId="49" fontId="3" fillId="0" borderId="40" xfId="0" applyNumberFormat="1" applyFont="1" applyFill="1" applyBorder="1" applyAlignment="1" applyProtection="1">
      <alignment horizontal="right" vertical="center"/>
      <protection/>
    </xf>
    <xf numFmtId="4" fontId="1" fillId="0" borderId="29" xfId="0" applyNumberFormat="1" applyFont="1" applyFill="1" applyBorder="1" applyAlignment="1" applyProtection="1">
      <alignment horizontal="right" vertical="center"/>
      <protection/>
    </xf>
    <xf numFmtId="4" fontId="1" fillId="0" borderId="20" xfId="0" applyNumberFormat="1" applyFont="1" applyFill="1" applyBorder="1" applyAlignment="1" applyProtection="1">
      <alignment horizontal="right" vertical="center"/>
      <protection/>
    </xf>
    <xf numFmtId="49" fontId="3" fillId="0" borderId="41" xfId="0" applyNumberFormat="1" applyFont="1" applyFill="1" applyBorder="1" applyAlignment="1" applyProtection="1">
      <alignment horizontal="left" vertical="center"/>
      <protection/>
    </xf>
    <xf numFmtId="49" fontId="1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49" fontId="3" fillId="0" borderId="41" xfId="0" applyNumberFormat="1" applyFont="1" applyFill="1" applyBorder="1" applyAlignment="1" applyProtection="1">
      <alignment horizontal="right" vertical="center"/>
      <protection/>
    </xf>
    <xf numFmtId="4" fontId="3" fillId="0" borderId="41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49" fontId="3" fillId="0" borderId="45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35" xfId="0" applyNumberFormat="1" applyFont="1" applyFill="1" applyBorder="1" applyAlignment="1" applyProtection="1">
      <alignment horizontal="left" vertical="center"/>
      <protection/>
    </xf>
    <xf numFmtId="49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0" fontId="3" fillId="0" borderId="48" xfId="0" applyNumberFormat="1" applyFont="1" applyFill="1" applyBorder="1" applyAlignment="1" applyProtection="1">
      <alignment horizontal="center" vertical="center"/>
      <protection/>
    </xf>
    <xf numFmtId="49" fontId="3" fillId="0" borderId="43" xfId="0" applyNumberFormat="1" applyFont="1" applyFill="1" applyBorder="1" applyAlignment="1" applyProtection="1">
      <alignment horizontal="left" vertical="center"/>
      <protection/>
    </xf>
    <xf numFmtId="0" fontId="3" fillId="0" borderId="39" xfId="0" applyNumberFormat="1" applyFont="1" applyFill="1" applyBorder="1" applyAlignment="1" applyProtection="1">
      <alignment horizontal="left" vertical="center"/>
      <protection/>
    </xf>
    <xf numFmtId="0" fontId="3" fillId="0" borderId="44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49" xfId="0" applyNumberFormat="1" applyFont="1" applyFill="1" applyBorder="1" applyAlignment="1" applyProtection="1">
      <alignment horizontal="left" vertical="center"/>
      <protection/>
    </xf>
    <xf numFmtId="0" fontId="3" fillId="0" borderId="50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 wrapText="1"/>
      <protection/>
    </xf>
    <xf numFmtId="0" fontId="1" fillId="0" borderId="51" xfId="0" applyNumberFormat="1" applyFont="1" applyFill="1" applyBorder="1" applyAlignment="1" applyProtection="1">
      <alignment horizontal="left" vertical="center"/>
      <protection/>
    </xf>
    <xf numFmtId="49" fontId="11" fillId="0" borderId="52" xfId="0" applyNumberFormat="1" applyFont="1" applyFill="1" applyBorder="1" applyAlignment="1" applyProtection="1">
      <alignment horizontal="center" vertical="center"/>
      <protection/>
    </xf>
    <xf numFmtId="0" fontId="11" fillId="0" borderId="52" xfId="0" applyNumberFormat="1" applyFont="1" applyFill="1" applyBorder="1" applyAlignment="1" applyProtection="1">
      <alignment horizontal="center" vertical="center"/>
      <protection/>
    </xf>
    <xf numFmtId="49" fontId="15" fillId="0" borderId="53" xfId="0" applyNumberFormat="1" applyFont="1" applyFill="1" applyBorder="1" applyAlignment="1" applyProtection="1">
      <alignment horizontal="left" vertical="center"/>
      <protection/>
    </xf>
    <xf numFmtId="0" fontId="15" fillId="0" borderId="37" xfId="0" applyNumberFormat="1" applyFont="1" applyFill="1" applyBorder="1" applyAlignment="1" applyProtection="1">
      <alignment horizontal="left" vertical="center"/>
      <protection/>
    </xf>
    <xf numFmtId="49" fontId="14" fillId="0" borderId="53" xfId="0" applyNumberFormat="1" applyFont="1" applyFill="1" applyBorder="1" applyAlignment="1" applyProtection="1">
      <alignment horizontal="left" vertical="center"/>
      <protection/>
    </xf>
    <xf numFmtId="0" fontId="14" fillId="0" borderId="37" xfId="0" applyNumberFormat="1" applyFont="1" applyFill="1" applyBorder="1" applyAlignment="1" applyProtection="1">
      <alignment horizontal="left" vertical="center"/>
      <protection/>
    </xf>
    <xf numFmtId="49" fontId="13" fillId="0" borderId="53" xfId="0" applyNumberFormat="1" applyFont="1" applyFill="1" applyBorder="1" applyAlignment="1" applyProtection="1">
      <alignment horizontal="left" vertical="center"/>
      <protection/>
    </xf>
    <xf numFmtId="0" fontId="13" fillId="0" borderId="37" xfId="0" applyNumberFormat="1" applyFont="1" applyFill="1" applyBorder="1" applyAlignment="1" applyProtection="1">
      <alignment horizontal="left" vertical="center"/>
      <protection/>
    </xf>
    <xf numFmtId="49" fontId="13" fillId="34" borderId="53" xfId="0" applyNumberFormat="1" applyFont="1" applyFill="1" applyBorder="1" applyAlignment="1" applyProtection="1">
      <alignment horizontal="left" vertical="center"/>
      <protection/>
    </xf>
    <xf numFmtId="0" fontId="13" fillId="34" borderId="52" xfId="0" applyNumberFormat="1" applyFont="1" applyFill="1" applyBorder="1" applyAlignment="1" applyProtection="1">
      <alignment horizontal="left" vertical="center"/>
      <protection/>
    </xf>
    <xf numFmtId="49" fontId="14" fillId="0" borderId="54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0" borderId="55" xfId="0" applyNumberFormat="1" applyFont="1" applyFill="1" applyBorder="1" applyAlignment="1" applyProtection="1">
      <alignment horizontal="left" vertical="center"/>
      <protection/>
    </xf>
    <xf numFmtId="49" fontId="14" fillId="0" borderId="25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56" xfId="0" applyNumberFormat="1" applyFont="1" applyFill="1" applyBorder="1" applyAlignment="1" applyProtection="1">
      <alignment horizontal="left" vertical="center"/>
      <protection/>
    </xf>
    <xf numFmtId="49" fontId="14" fillId="0" borderId="57" xfId="0" applyNumberFormat="1" applyFont="1" applyFill="1" applyBorder="1" applyAlignment="1" applyProtection="1">
      <alignment horizontal="left" vertical="center"/>
      <protection/>
    </xf>
    <xf numFmtId="0" fontId="14" fillId="0" borderId="39" xfId="0" applyNumberFormat="1" applyFont="1" applyFill="1" applyBorder="1" applyAlignment="1" applyProtection="1">
      <alignment horizontal="left" vertical="center"/>
      <protection/>
    </xf>
    <xf numFmtId="0" fontId="14" fillId="0" borderId="58" xfId="0" applyNumberFormat="1" applyFont="1" applyFill="1" applyBorder="1" applyAlignment="1" applyProtection="1">
      <alignment horizontal="left" vertical="center"/>
      <protection/>
    </xf>
    <xf numFmtId="49" fontId="13" fillId="0" borderId="39" xfId="0" applyNumberFormat="1" applyFont="1" applyFill="1" applyBorder="1" applyAlignment="1" applyProtection="1">
      <alignment horizontal="left" vertical="center"/>
      <protection/>
    </xf>
    <xf numFmtId="0" fontId="13" fillId="0" borderId="39" xfId="0" applyNumberFormat="1" applyFont="1" applyFill="1" applyBorder="1" applyAlignment="1" applyProtection="1">
      <alignment horizontal="left" vertical="center"/>
      <protection/>
    </xf>
    <xf numFmtId="49" fontId="3" fillId="0" borderId="46" xfId="0" applyNumberFormat="1" applyFont="1" applyFill="1" applyBorder="1" applyAlignment="1" applyProtection="1">
      <alignment horizontal="left" vertical="center"/>
      <protection/>
    </xf>
    <xf numFmtId="0" fontId="3" fillId="0" borderId="47" xfId="0" applyNumberFormat="1" applyFont="1" applyFill="1" applyBorder="1" applyAlignment="1" applyProtection="1">
      <alignment horizontal="left" vertical="center"/>
      <protection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49" fontId="1" fillId="0" borderId="53" xfId="0" applyNumberFormat="1" applyFont="1" applyFill="1" applyBorder="1" applyAlignment="1" applyProtection="1">
      <alignment horizontal="left" vertical="center"/>
      <protection/>
    </xf>
    <xf numFmtId="0" fontId="1" fillId="0" borderId="52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49" fontId="1" fillId="0" borderId="59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60" xfId="0" applyNumberFormat="1" applyFont="1" applyFill="1" applyBorder="1" applyAlignment="1" applyProtection="1">
      <alignment horizontal="left" vertical="center"/>
      <protection/>
    </xf>
    <xf numFmtId="49" fontId="3" fillId="0" borderId="61" xfId="0" applyNumberFormat="1" applyFont="1" applyFill="1" applyBorder="1" applyAlignment="1" applyProtection="1">
      <alignment horizontal="left" vertical="center"/>
      <protection/>
    </xf>
    <xf numFmtId="0" fontId="3" fillId="0" borderId="38" xfId="0" applyNumberFormat="1" applyFont="1" applyFill="1" applyBorder="1" applyAlignment="1" applyProtection="1">
      <alignment horizontal="left" vertical="center"/>
      <protection/>
    </xf>
    <xf numFmtId="0" fontId="3" fillId="0" borderId="62" xfId="0" applyNumberFormat="1" applyFont="1" applyFill="1" applyBorder="1" applyAlignment="1" applyProtection="1">
      <alignment horizontal="left" vertical="center"/>
      <protection/>
    </xf>
    <xf numFmtId="49" fontId="13" fillId="0" borderId="61" xfId="0" applyNumberFormat="1" applyFont="1" applyFill="1" applyBorder="1" applyAlignment="1" applyProtection="1">
      <alignment horizontal="left" vertical="center"/>
      <protection/>
    </xf>
    <xf numFmtId="0" fontId="13" fillId="0" borderId="38" xfId="0" applyNumberFormat="1" applyFont="1" applyFill="1" applyBorder="1" applyAlignment="1" applyProtection="1">
      <alignment horizontal="left" vertical="center"/>
      <protection/>
    </xf>
    <xf numFmtId="0" fontId="13" fillId="0" borderId="62" xfId="0" applyNumberFormat="1" applyFont="1" applyFill="1" applyBorder="1" applyAlignment="1" applyProtection="1">
      <alignment horizontal="left" vertical="center"/>
      <protection/>
    </xf>
    <xf numFmtId="4" fontId="13" fillId="0" borderId="61" xfId="0" applyNumberFormat="1" applyFont="1" applyFill="1" applyBorder="1" applyAlignment="1" applyProtection="1">
      <alignment horizontal="right" vertical="center"/>
      <protection/>
    </xf>
    <xf numFmtId="0" fontId="13" fillId="0" borderId="38" xfId="0" applyNumberFormat="1" applyFont="1" applyFill="1" applyBorder="1" applyAlignment="1" applyProtection="1">
      <alignment horizontal="right" vertical="center"/>
      <protection/>
    </xf>
    <xf numFmtId="0" fontId="13" fillId="0" borderId="62" xfId="0" applyNumberFormat="1" applyFont="1" applyFill="1" applyBorder="1" applyAlignment="1" applyProtection="1">
      <alignment horizontal="right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438150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onika.hilasova\Documents\Grafick&#225;_realizace\Grafick&#225;%20-%20polyfunk&#269;n&#237;%20d&#237;lna\ZSG_DPS_rozpocet\ZSG%20rozpoc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vební rozpočet"/>
      <sheetName val="Stavební rozpočet - součet"/>
      <sheetName val="Výkaz výměr"/>
      <sheetName val="Krycí list rozpočtu"/>
      <sheetName val="VORN"/>
    </sheetNames>
    <sheetDataSet>
      <sheetData sheetId="0">
        <row r="2">
          <cell r="D2" t="str">
            <v>Přístavba polytechnické dílny - ZŠ Grafická</v>
          </cell>
          <cell r="I2" t="str">
            <v>Atelier H3T architekti, s.r.o.</v>
          </cell>
        </row>
        <row r="4">
          <cell r="D4" t="str">
            <v>Dílna</v>
          </cell>
          <cell r="I4" t="str">
            <v>Atelier H3T architekti,s.r.o., Nám.Česk.povstání 2</v>
          </cell>
        </row>
        <row r="6">
          <cell r="D6" t="str">
            <v>ZŠ Grafická č. 1060/13, Praha 5 - Smíchov</v>
          </cell>
          <cell r="I6" t="str">
            <v> </v>
          </cell>
        </row>
        <row r="8">
          <cell r="G8" t="str">
            <v>21.09.2020</v>
          </cell>
          <cell r="I8" t="str">
            <v>Ing. Petr FILIP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344"/>
  <sheetViews>
    <sheetView zoomScalePageLayoutView="0" workbookViewId="0" topLeftCell="A1">
      <pane ySplit="11" topLeftCell="A321" activePane="bottomLeft" state="frozen"/>
      <selection pane="topLeft" activeCell="A1" sqref="A1"/>
      <selection pane="bottomLeft" activeCell="A344" sqref="A344:L344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79.421875" style="0" customWidth="1"/>
    <col min="4" max="5" width="11.57421875" style="0" customWidth="1"/>
    <col min="6" max="6" width="6.421875" style="0" customWidth="1"/>
    <col min="7" max="7" width="12.8515625" style="0" customWidth="1"/>
    <col min="8" max="8" width="12.00390625" style="0" customWidth="1"/>
    <col min="9" max="11" width="14.28125" style="0" customWidth="1"/>
    <col min="12" max="12" width="11.7109375" style="0" customWidth="1"/>
    <col min="13" max="24" width="11.57421875" style="0" customWidth="1"/>
    <col min="25" max="62" width="12.140625" style="0" hidden="1" customWidth="1"/>
  </cols>
  <sheetData>
    <row r="1" spans="1:12" ht="72.75" customHeight="1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3" ht="12.75">
      <c r="A2" s="80" t="s">
        <v>1</v>
      </c>
      <c r="B2" s="81"/>
      <c r="C2" s="84" t="s">
        <v>576</v>
      </c>
      <c r="D2" s="86" t="s">
        <v>886</v>
      </c>
      <c r="E2" s="81"/>
      <c r="F2" s="86" t="s">
        <v>6</v>
      </c>
      <c r="G2" s="81"/>
      <c r="H2" s="87" t="s">
        <v>904</v>
      </c>
      <c r="I2" s="87" t="s">
        <v>910</v>
      </c>
      <c r="J2" s="81"/>
      <c r="K2" s="81"/>
      <c r="L2" s="88"/>
      <c r="M2" s="31"/>
    </row>
    <row r="3" spans="1:13" ht="12.75">
      <c r="A3" s="82"/>
      <c r="B3" s="83"/>
      <c r="C3" s="85"/>
      <c r="D3" s="83"/>
      <c r="E3" s="83"/>
      <c r="F3" s="83"/>
      <c r="G3" s="83"/>
      <c r="H3" s="83"/>
      <c r="I3" s="83"/>
      <c r="J3" s="83"/>
      <c r="K3" s="83"/>
      <c r="L3" s="89"/>
      <c r="M3" s="31"/>
    </row>
    <row r="4" spans="1:13" ht="12.75">
      <c r="A4" s="90" t="s">
        <v>2</v>
      </c>
      <c r="B4" s="83"/>
      <c r="C4" s="91" t="s">
        <v>577</v>
      </c>
      <c r="D4" s="92" t="s">
        <v>887</v>
      </c>
      <c r="E4" s="83"/>
      <c r="F4" s="92" t="s">
        <v>890</v>
      </c>
      <c r="G4" s="83"/>
      <c r="H4" s="91" t="s">
        <v>905</v>
      </c>
      <c r="I4" s="91" t="s">
        <v>911</v>
      </c>
      <c r="J4" s="83"/>
      <c r="K4" s="83"/>
      <c r="L4" s="89"/>
      <c r="M4" s="31"/>
    </row>
    <row r="5" spans="1:13" ht="12.75">
      <c r="A5" s="82"/>
      <c r="B5" s="83"/>
      <c r="C5" s="83"/>
      <c r="D5" s="83"/>
      <c r="E5" s="83"/>
      <c r="F5" s="83"/>
      <c r="G5" s="83"/>
      <c r="H5" s="83"/>
      <c r="I5" s="83"/>
      <c r="J5" s="83"/>
      <c r="K5" s="83"/>
      <c r="L5" s="89"/>
      <c r="M5" s="31"/>
    </row>
    <row r="6" spans="1:13" ht="12.75">
      <c r="A6" s="90" t="s">
        <v>3</v>
      </c>
      <c r="B6" s="83"/>
      <c r="C6" s="91" t="s">
        <v>578</v>
      </c>
      <c r="D6" s="92" t="s">
        <v>888</v>
      </c>
      <c r="E6" s="83"/>
      <c r="F6" s="92" t="s">
        <v>6</v>
      </c>
      <c r="G6" s="83"/>
      <c r="H6" s="91" t="s">
        <v>906</v>
      </c>
      <c r="I6" s="92" t="s">
        <v>912</v>
      </c>
      <c r="J6" s="83"/>
      <c r="K6" s="83"/>
      <c r="L6" s="89"/>
      <c r="M6" s="31"/>
    </row>
    <row r="7" spans="1:13" ht="12.75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9"/>
      <c r="M7" s="31"/>
    </row>
    <row r="8" spans="1:13" ht="12.75">
      <c r="A8" s="90" t="s">
        <v>4</v>
      </c>
      <c r="B8" s="83"/>
      <c r="C8" s="91" t="s">
        <v>6</v>
      </c>
      <c r="D8" s="92" t="s">
        <v>889</v>
      </c>
      <c r="E8" s="83"/>
      <c r="F8" s="92" t="s">
        <v>891</v>
      </c>
      <c r="G8" s="83"/>
      <c r="H8" s="91" t="s">
        <v>907</v>
      </c>
      <c r="I8" s="91" t="s">
        <v>913</v>
      </c>
      <c r="J8" s="83"/>
      <c r="K8" s="83"/>
      <c r="L8" s="89"/>
      <c r="M8" s="31"/>
    </row>
    <row r="9" spans="1:13" ht="12.75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5"/>
      <c r="M9" s="31"/>
    </row>
    <row r="10" spans="1:13" ht="12.75">
      <c r="A10" s="1" t="s">
        <v>5</v>
      </c>
      <c r="B10" s="10" t="s">
        <v>281</v>
      </c>
      <c r="C10" s="96" t="s">
        <v>579</v>
      </c>
      <c r="D10" s="97"/>
      <c r="E10" s="98"/>
      <c r="F10" s="10" t="s">
        <v>892</v>
      </c>
      <c r="G10" s="15" t="s">
        <v>903</v>
      </c>
      <c r="H10" s="19" t="s">
        <v>908</v>
      </c>
      <c r="I10" s="99" t="s">
        <v>914</v>
      </c>
      <c r="J10" s="100"/>
      <c r="K10" s="101"/>
      <c r="L10" s="24" t="s">
        <v>919</v>
      </c>
      <c r="M10" s="32"/>
    </row>
    <row r="11" spans="1:62" ht="12.75">
      <c r="A11" s="2" t="s">
        <v>6</v>
      </c>
      <c r="B11" s="11" t="s">
        <v>6</v>
      </c>
      <c r="C11" s="102" t="s">
        <v>580</v>
      </c>
      <c r="D11" s="103"/>
      <c r="E11" s="104"/>
      <c r="F11" s="11" t="s">
        <v>6</v>
      </c>
      <c r="G11" s="11" t="s">
        <v>6</v>
      </c>
      <c r="H11" s="20" t="s">
        <v>909</v>
      </c>
      <c r="I11" s="21" t="s">
        <v>915</v>
      </c>
      <c r="J11" s="22" t="s">
        <v>917</v>
      </c>
      <c r="K11" s="23" t="s">
        <v>918</v>
      </c>
      <c r="L11" s="25" t="s">
        <v>920</v>
      </c>
      <c r="M11" s="32"/>
      <c r="Z11" s="28" t="s">
        <v>925</v>
      </c>
      <c r="AA11" s="28" t="s">
        <v>926</v>
      </c>
      <c r="AB11" s="28" t="s">
        <v>927</v>
      </c>
      <c r="AC11" s="28" t="s">
        <v>928</v>
      </c>
      <c r="AD11" s="28" t="s">
        <v>929</v>
      </c>
      <c r="AE11" s="28" t="s">
        <v>930</v>
      </c>
      <c r="AF11" s="28" t="s">
        <v>931</v>
      </c>
      <c r="AG11" s="28" t="s">
        <v>932</v>
      </c>
      <c r="AH11" s="28" t="s">
        <v>933</v>
      </c>
      <c r="BH11" s="28" t="s">
        <v>1008</v>
      </c>
      <c r="BI11" s="28" t="s">
        <v>1009</v>
      </c>
      <c r="BJ11" s="28" t="s">
        <v>1010</v>
      </c>
    </row>
    <row r="12" spans="1:47" ht="12.75">
      <c r="A12" s="3"/>
      <c r="B12" s="12" t="s">
        <v>282</v>
      </c>
      <c r="C12" s="105" t="s">
        <v>581</v>
      </c>
      <c r="D12" s="106"/>
      <c r="E12" s="106"/>
      <c r="F12" s="3" t="s">
        <v>6</v>
      </c>
      <c r="G12" s="3" t="s">
        <v>6</v>
      </c>
      <c r="H12" s="3" t="s">
        <v>6</v>
      </c>
      <c r="I12" s="35">
        <f>SUM(I13:I13)</f>
        <v>0</v>
      </c>
      <c r="J12" s="35">
        <f>SUM(J13:J13)</f>
        <v>0</v>
      </c>
      <c r="K12" s="35">
        <f>SUM(K13:K13)</f>
        <v>0</v>
      </c>
      <c r="L12" s="26"/>
      <c r="AI12" s="28"/>
      <c r="AS12" s="36">
        <f>SUM(AJ13:AJ13)</f>
        <v>0</v>
      </c>
      <c r="AT12" s="36">
        <f>SUM(AK13:AK13)</f>
        <v>0</v>
      </c>
      <c r="AU12" s="36">
        <f>SUM(AL13:AL13)</f>
        <v>0</v>
      </c>
    </row>
    <row r="13" spans="1:62" ht="12.75">
      <c r="A13" s="4" t="s">
        <v>7</v>
      </c>
      <c r="B13" s="4" t="s">
        <v>283</v>
      </c>
      <c r="C13" s="107" t="s">
        <v>582</v>
      </c>
      <c r="D13" s="108"/>
      <c r="E13" s="108"/>
      <c r="F13" s="4" t="s">
        <v>893</v>
      </c>
      <c r="G13" s="16">
        <v>668.68</v>
      </c>
      <c r="H13" s="16">
        <v>0</v>
      </c>
      <c r="I13" s="16">
        <f>G13*AO13</f>
        <v>0</v>
      </c>
      <c r="J13" s="16">
        <f>G13*AP13</f>
        <v>0</v>
      </c>
      <c r="K13" s="16">
        <f>G13*H13</f>
        <v>0</v>
      </c>
      <c r="L13" s="27" t="s">
        <v>921</v>
      </c>
      <c r="Z13" s="33">
        <f>IF(AQ13="5",BJ13,0)</f>
        <v>0</v>
      </c>
      <c r="AB13" s="33">
        <f>IF(AQ13="1",BH13,0)</f>
        <v>0</v>
      </c>
      <c r="AC13" s="33">
        <f>IF(AQ13="1",BI13,0)</f>
        <v>0</v>
      </c>
      <c r="AD13" s="33">
        <f>IF(AQ13="7",BH13,0)</f>
        <v>0</v>
      </c>
      <c r="AE13" s="33">
        <f>IF(AQ13="7",BI13,0)</f>
        <v>0</v>
      </c>
      <c r="AF13" s="33">
        <f>IF(AQ13="2",BH13,0)</f>
        <v>0</v>
      </c>
      <c r="AG13" s="33">
        <f>IF(AQ13="2",BI13,0)</f>
        <v>0</v>
      </c>
      <c r="AH13" s="33">
        <f>IF(AQ13="0",BJ13,0)</f>
        <v>0</v>
      </c>
      <c r="AI13" s="28"/>
      <c r="AJ13" s="16">
        <f>IF(AN13=0,K13,0)</f>
        <v>0</v>
      </c>
      <c r="AK13" s="16">
        <f>IF(AN13=15,K13,0)</f>
        <v>0</v>
      </c>
      <c r="AL13" s="16">
        <f>IF(AN13=21,K13,0)</f>
        <v>0</v>
      </c>
      <c r="AN13" s="33">
        <v>21</v>
      </c>
      <c r="AO13" s="33">
        <f>H13*0</f>
        <v>0</v>
      </c>
      <c r="AP13" s="33">
        <f>H13*(1-0)</f>
        <v>0</v>
      </c>
      <c r="AQ13" s="27" t="s">
        <v>7</v>
      </c>
      <c r="AV13" s="33">
        <f>AW13+AX13</f>
        <v>0</v>
      </c>
      <c r="AW13" s="33">
        <f>G13*AO13</f>
        <v>0</v>
      </c>
      <c r="AX13" s="33">
        <f>G13*AP13</f>
        <v>0</v>
      </c>
      <c r="AY13" s="34" t="s">
        <v>934</v>
      </c>
      <c r="AZ13" s="34" t="s">
        <v>934</v>
      </c>
      <c r="BA13" s="28" t="s">
        <v>1007</v>
      </c>
      <c r="BC13" s="33">
        <f>AW13+AX13</f>
        <v>0</v>
      </c>
      <c r="BD13" s="33">
        <f>H13/(100-BE13)*100</f>
        <v>0</v>
      </c>
      <c r="BE13" s="33">
        <v>0</v>
      </c>
      <c r="BF13" s="33">
        <f>13</f>
        <v>13</v>
      </c>
      <c r="BH13" s="16">
        <f>G13*AO13</f>
        <v>0</v>
      </c>
      <c r="BI13" s="16">
        <f>G13*AP13</f>
        <v>0</v>
      </c>
      <c r="BJ13" s="16">
        <f>G13*H13</f>
        <v>0</v>
      </c>
    </row>
    <row r="14" spans="1:47" ht="12.75">
      <c r="A14" s="5"/>
      <c r="B14" s="13" t="s">
        <v>104</v>
      </c>
      <c r="C14" s="109" t="s">
        <v>583</v>
      </c>
      <c r="D14" s="110"/>
      <c r="E14" s="110"/>
      <c r="F14" s="5" t="s">
        <v>6</v>
      </c>
      <c r="G14" s="5" t="s">
        <v>6</v>
      </c>
      <c r="H14" s="5" t="s">
        <v>6</v>
      </c>
      <c r="I14" s="36">
        <f>SUM(I15:I16)</f>
        <v>0</v>
      </c>
      <c r="J14" s="36">
        <f>SUM(J15:J16)</f>
        <v>0</v>
      </c>
      <c r="K14" s="36">
        <f>SUM(K15:K16)</f>
        <v>0</v>
      </c>
      <c r="L14" s="28"/>
      <c r="AI14" s="28"/>
      <c r="AS14" s="36">
        <f>SUM(AJ15:AJ16)</f>
        <v>0</v>
      </c>
      <c r="AT14" s="36">
        <f>SUM(AK15:AK16)</f>
        <v>0</v>
      </c>
      <c r="AU14" s="36">
        <f>SUM(AL15:AL16)</f>
        <v>0</v>
      </c>
    </row>
    <row r="15" spans="1:62" ht="12.75">
      <c r="A15" s="6" t="s">
        <v>9</v>
      </c>
      <c r="B15" s="6" t="s">
        <v>284</v>
      </c>
      <c r="C15" s="111" t="s">
        <v>584</v>
      </c>
      <c r="D15" s="112"/>
      <c r="E15" s="112"/>
      <c r="F15" s="6" t="s">
        <v>895</v>
      </c>
      <c r="G15" s="17">
        <v>48</v>
      </c>
      <c r="H15" s="17">
        <v>0</v>
      </c>
      <c r="I15" s="17">
        <f>G15*AO15</f>
        <v>0</v>
      </c>
      <c r="J15" s="17">
        <f>G15*AP15</f>
        <v>0</v>
      </c>
      <c r="K15" s="17">
        <f>G15*H15</f>
        <v>0</v>
      </c>
      <c r="L15" s="29" t="s">
        <v>922</v>
      </c>
      <c r="Z15" s="33">
        <f>IF(AQ15="5",BJ15,0)</f>
        <v>0</v>
      </c>
      <c r="AB15" s="33">
        <f>IF(AQ15="1",BH15,0)</f>
        <v>0</v>
      </c>
      <c r="AC15" s="33">
        <f>IF(AQ15="1",BI15,0)</f>
        <v>0</v>
      </c>
      <c r="AD15" s="33">
        <f>IF(AQ15="7",BH15,0)</f>
        <v>0</v>
      </c>
      <c r="AE15" s="33">
        <f>IF(AQ15="7",BI15,0)</f>
        <v>0</v>
      </c>
      <c r="AF15" s="33">
        <f>IF(AQ15="2",BH15,0)</f>
        <v>0</v>
      </c>
      <c r="AG15" s="33">
        <f>IF(AQ15="2",BI15,0)</f>
        <v>0</v>
      </c>
      <c r="AH15" s="33">
        <f>IF(AQ15="0",BJ15,0)</f>
        <v>0</v>
      </c>
      <c r="AI15" s="28"/>
      <c r="AJ15" s="17">
        <f>IF(AN15=0,K15,0)</f>
        <v>0</v>
      </c>
      <c r="AK15" s="17">
        <f>IF(AN15=15,K15,0)</f>
        <v>0</v>
      </c>
      <c r="AL15" s="17">
        <f>IF(AN15=21,K15,0)</f>
        <v>0</v>
      </c>
      <c r="AN15" s="33">
        <v>21</v>
      </c>
      <c r="AO15" s="33">
        <f>H15*1</f>
        <v>0</v>
      </c>
      <c r="AP15" s="33">
        <f>H15*(1-1)</f>
        <v>0</v>
      </c>
      <c r="AQ15" s="29" t="s">
        <v>7</v>
      </c>
      <c r="AV15" s="33">
        <f>AW15+AX15</f>
        <v>0</v>
      </c>
      <c r="AW15" s="33">
        <f>G15*AO15</f>
        <v>0</v>
      </c>
      <c r="AX15" s="33">
        <f>G15*AP15</f>
        <v>0</v>
      </c>
      <c r="AY15" s="34" t="s">
        <v>935</v>
      </c>
      <c r="AZ15" s="34" t="s">
        <v>993</v>
      </c>
      <c r="BA15" s="28" t="s">
        <v>1007</v>
      </c>
      <c r="BC15" s="33">
        <f>AW15+AX15</f>
        <v>0</v>
      </c>
      <c r="BD15" s="33">
        <f>H15/(100-BE15)*100</f>
        <v>0</v>
      </c>
      <c r="BE15" s="33">
        <v>0</v>
      </c>
      <c r="BF15" s="33">
        <f>17</f>
        <v>17</v>
      </c>
      <c r="BH15" s="17">
        <f>G15*AO15</f>
        <v>0</v>
      </c>
      <c r="BI15" s="17">
        <f>G15*AP15</f>
        <v>0</v>
      </c>
      <c r="BJ15" s="17">
        <f>G15*H15</f>
        <v>0</v>
      </c>
    </row>
    <row r="16" spans="1:62" ht="12.75">
      <c r="A16" s="6" t="s">
        <v>10</v>
      </c>
      <c r="B16" s="6" t="s">
        <v>285</v>
      </c>
      <c r="C16" s="111" t="s">
        <v>585</v>
      </c>
      <c r="D16" s="112"/>
      <c r="E16" s="112"/>
      <c r="F16" s="6" t="s">
        <v>896</v>
      </c>
      <c r="G16" s="17">
        <v>5</v>
      </c>
      <c r="H16" s="17">
        <v>0</v>
      </c>
      <c r="I16" s="17">
        <f>G16*AO16</f>
        <v>0</v>
      </c>
      <c r="J16" s="17">
        <f>G16*AP16</f>
        <v>0</v>
      </c>
      <c r="K16" s="17">
        <f>G16*H16</f>
        <v>0</v>
      </c>
      <c r="L16" s="29" t="s">
        <v>922</v>
      </c>
      <c r="Z16" s="33">
        <f>IF(AQ16="5",BJ16,0)</f>
        <v>0</v>
      </c>
      <c r="AB16" s="33">
        <f>IF(AQ16="1",BH16,0)</f>
        <v>0</v>
      </c>
      <c r="AC16" s="33">
        <f>IF(AQ16="1",BI16,0)</f>
        <v>0</v>
      </c>
      <c r="AD16" s="33">
        <f>IF(AQ16="7",BH16,0)</f>
        <v>0</v>
      </c>
      <c r="AE16" s="33">
        <f>IF(AQ16="7",BI16,0)</f>
        <v>0</v>
      </c>
      <c r="AF16" s="33">
        <f>IF(AQ16="2",BH16,0)</f>
        <v>0</v>
      </c>
      <c r="AG16" s="33">
        <f>IF(AQ16="2",BI16,0)</f>
        <v>0</v>
      </c>
      <c r="AH16" s="33">
        <f>IF(AQ16="0",BJ16,0)</f>
        <v>0</v>
      </c>
      <c r="AI16" s="28"/>
      <c r="AJ16" s="17">
        <f>IF(AN16=0,K16,0)</f>
        <v>0</v>
      </c>
      <c r="AK16" s="17">
        <f>IF(AN16=15,K16,0)</f>
        <v>0</v>
      </c>
      <c r="AL16" s="17">
        <f>IF(AN16=21,K16,0)</f>
        <v>0</v>
      </c>
      <c r="AN16" s="33">
        <v>21</v>
      </c>
      <c r="AO16" s="33">
        <f>H16*1</f>
        <v>0</v>
      </c>
      <c r="AP16" s="33">
        <f>H16*(1-1)</f>
        <v>0</v>
      </c>
      <c r="AQ16" s="29" t="s">
        <v>7</v>
      </c>
      <c r="AV16" s="33">
        <f>AW16+AX16</f>
        <v>0</v>
      </c>
      <c r="AW16" s="33">
        <f>G16*AO16</f>
        <v>0</v>
      </c>
      <c r="AX16" s="33">
        <f>G16*AP16</f>
        <v>0</v>
      </c>
      <c r="AY16" s="34" t="s">
        <v>935</v>
      </c>
      <c r="AZ16" s="34" t="s">
        <v>993</v>
      </c>
      <c r="BA16" s="28" t="s">
        <v>1007</v>
      </c>
      <c r="BC16" s="33">
        <f>AW16+AX16</f>
        <v>0</v>
      </c>
      <c r="BD16" s="33">
        <f>H16/(100-BE16)*100</f>
        <v>0</v>
      </c>
      <c r="BE16" s="33">
        <v>0</v>
      </c>
      <c r="BF16" s="33">
        <f>18</f>
        <v>18</v>
      </c>
      <c r="BH16" s="17">
        <f>G16*AO16</f>
        <v>0</v>
      </c>
      <c r="BI16" s="17">
        <f>G16*AP16</f>
        <v>0</v>
      </c>
      <c r="BJ16" s="17">
        <f>G16*H16</f>
        <v>0</v>
      </c>
    </row>
    <row r="17" spans="1:47" ht="12.75">
      <c r="A17" s="5"/>
      <c r="B17" s="13" t="s">
        <v>16</v>
      </c>
      <c r="C17" s="109" t="s">
        <v>586</v>
      </c>
      <c r="D17" s="110"/>
      <c r="E17" s="110"/>
      <c r="F17" s="5" t="s">
        <v>6</v>
      </c>
      <c r="G17" s="5" t="s">
        <v>6</v>
      </c>
      <c r="H17" s="5" t="s">
        <v>6</v>
      </c>
      <c r="I17" s="36">
        <f>SUM(I18:I20)</f>
        <v>0</v>
      </c>
      <c r="J17" s="36">
        <f>SUM(J18:J20)</f>
        <v>0</v>
      </c>
      <c r="K17" s="36">
        <f>SUM(K18:K20)</f>
        <v>0</v>
      </c>
      <c r="L17" s="28"/>
      <c r="AI17" s="28"/>
      <c r="AS17" s="36">
        <f>SUM(AJ18:AJ20)</f>
        <v>0</v>
      </c>
      <c r="AT17" s="36">
        <f>SUM(AK18:AK20)</f>
        <v>0</v>
      </c>
      <c r="AU17" s="36">
        <f>SUM(AL18:AL20)</f>
        <v>0</v>
      </c>
    </row>
    <row r="18" spans="1:62" ht="12.75">
      <c r="A18" s="4" t="s">
        <v>12</v>
      </c>
      <c r="B18" s="4" t="s">
        <v>286</v>
      </c>
      <c r="C18" s="107" t="s">
        <v>587</v>
      </c>
      <c r="D18" s="108"/>
      <c r="E18" s="108"/>
      <c r="F18" s="4" t="s">
        <v>897</v>
      </c>
      <c r="G18" s="16">
        <v>14.06</v>
      </c>
      <c r="H18" s="16">
        <v>0</v>
      </c>
      <c r="I18" s="16">
        <f>G18*AO18</f>
        <v>0</v>
      </c>
      <c r="J18" s="16">
        <f>G18*AP18</f>
        <v>0</v>
      </c>
      <c r="K18" s="16">
        <f>G18*H18</f>
        <v>0</v>
      </c>
      <c r="L18" s="27" t="s">
        <v>922</v>
      </c>
      <c r="Z18" s="33">
        <f>IF(AQ18="5",BJ18,0)</f>
        <v>0</v>
      </c>
      <c r="AB18" s="33">
        <f>IF(AQ18="1",BH18,0)</f>
        <v>0</v>
      </c>
      <c r="AC18" s="33">
        <f>IF(AQ18="1",BI18,0)</f>
        <v>0</v>
      </c>
      <c r="AD18" s="33">
        <f>IF(AQ18="7",BH18,0)</f>
        <v>0</v>
      </c>
      <c r="AE18" s="33">
        <f>IF(AQ18="7",BI18,0)</f>
        <v>0</v>
      </c>
      <c r="AF18" s="33">
        <f>IF(AQ18="2",BH18,0)</f>
        <v>0</v>
      </c>
      <c r="AG18" s="33">
        <f>IF(AQ18="2",BI18,0)</f>
        <v>0</v>
      </c>
      <c r="AH18" s="33">
        <f>IF(AQ18="0",BJ18,0)</f>
        <v>0</v>
      </c>
      <c r="AI18" s="28"/>
      <c r="AJ18" s="16">
        <f>IF(AN18=0,K18,0)</f>
        <v>0</v>
      </c>
      <c r="AK18" s="16">
        <f>IF(AN18=15,K18,0)</f>
        <v>0</v>
      </c>
      <c r="AL18" s="16">
        <f>IF(AN18=21,K18,0)</f>
        <v>0</v>
      </c>
      <c r="AN18" s="33">
        <v>21</v>
      </c>
      <c r="AO18" s="33">
        <f>H18*0</f>
        <v>0</v>
      </c>
      <c r="AP18" s="33">
        <f>H18*(1-0)</f>
        <v>0</v>
      </c>
      <c r="AQ18" s="27" t="s">
        <v>7</v>
      </c>
      <c r="AV18" s="33">
        <f>AW18+AX18</f>
        <v>0</v>
      </c>
      <c r="AW18" s="33">
        <f>G18*AO18</f>
        <v>0</v>
      </c>
      <c r="AX18" s="33">
        <f>G18*AP18</f>
        <v>0</v>
      </c>
      <c r="AY18" s="34" t="s">
        <v>936</v>
      </c>
      <c r="AZ18" s="34" t="s">
        <v>993</v>
      </c>
      <c r="BA18" s="28" t="s">
        <v>1007</v>
      </c>
      <c r="BC18" s="33">
        <f>AW18+AX18</f>
        <v>0</v>
      </c>
      <c r="BD18" s="33">
        <f>H18/(100-BE18)*100</f>
        <v>0</v>
      </c>
      <c r="BE18" s="33">
        <v>0</v>
      </c>
      <c r="BF18" s="33">
        <f>22</f>
        <v>22</v>
      </c>
      <c r="BH18" s="16">
        <f>G18*AO18</f>
        <v>0</v>
      </c>
      <c r="BI18" s="16">
        <f>G18*AP18</f>
        <v>0</v>
      </c>
      <c r="BJ18" s="16">
        <f>G18*H18</f>
        <v>0</v>
      </c>
    </row>
    <row r="19" spans="1:62" ht="12.75">
      <c r="A19" s="4" t="s">
        <v>13</v>
      </c>
      <c r="B19" s="4" t="s">
        <v>287</v>
      </c>
      <c r="C19" s="107" t="s">
        <v>588</v>
      </c>
      <c r="D19" s="108"/>
      <c r="E19" s="108"/>
      <c r="F19" s="4" t="s">
        <v>897</v>
      </c>
      <c r="G19" s="16">
        <v>15.78566</v>
      </c>
      <c r="H19" s="16">
        <v>0</v>
      </c>
      <c r="I19" s="16">
        <f>G19*AO19</f>
        <v>0</v>
      </c>
      <c r="J19" s="16">
        <f>G19*AP19</f>
        <v>0</v>
      </c>
      <c r="K19" s="16">
        <f>G19*H19</f>
        <v>0</v>
      </c>
      <c r="L19" s="27" t="s">
        <v>922</v>
      </c>
      <c r="Z19" s="33">
        <f>IF(AQ19="5",BJ19,0)</f>
        <v>0</v>
      </c>
      <c r="AB19" s="33">
        <f>IF(AQ19="1",BH19,0)</f>
        <v>0</v>
      </c>
      <c r="AC19" s="33">
        <f>IF(AQ19="1",BI19,0)</f>
        <v>0</v>
      </c>
      <c r="AD19" s="33">
        <f>IF(AQ19="7",BH19,0)</f>
        <v>0</v>
      </c>
      <c r="AE19" s="33">
        <f>IF(AQ19="7",BI19,0)</f>
        <v>0</v>
      </c>
      <c r="AF19" s="33">
        <f>IF(AQ19="2",BH19,0)</f>
        <v>0</v>
      </c>
      <c r="AG19" s="33">
        <f>IF(AQ19="2",BI19,0)</f>
        <v>0</v>
      </c>
      <c r="AH19" s="33">
        <f>IF(AQ19="0",BJ19,0)</f>
        <v>0</v>
      </c>
      <c r="AI19" s="28"/>
      <c r="AJ19" s="16">
        <f>IF(AN19=0,K19,0)</f>
        <v>0</v>
      </c>
      <c r="AK19" s="16">
        <f>IF(AN19=15,K19,0)</f>
        <v>0</v>
      </c>
      <c r="AL19" s="16">
        <f>IF(AN19=21,K19,0)</f>
        <v>0</v>
      </c>
      <c r="AN19" s="33">
        <v>21</v>
      </c>
      <c r="AO19" s="33">
        <f>H19*0</f>
        <v>0</v>
      </c>
      <c r="AP19" s="33">
        <f>H19*(1-0)</f>
        <v>0</v>
      </c>
      <c r="AQ19" s="27" t="s">
        <v>7</v>
      </c>
      <c r="AV19" s="33">
        <f>AW19+AX19</f>
        <v>0</v>
      </c>
      <c r="AW19" s="33">
        <f>G19*AO19</f>
        <v>0</v>
      </c>
      <c r="AX19" s="33">
        <f>G19*AP19</f>
        <v>0</v>
      </c>
      <c r="AY19" s="34" t="s">
        <v>936</v>
      </c>
      <c r="AZ19" s="34" t="s">
        <v>993</v>
      </c>
      <c r="BA19" s="28" t="s">
        <v>1007</v>
      </c>
      <c r="BC19" s="33">
        <f>AW19+AX19</f>
        <v>0</v>
      </c>
      <c r="BD19" s="33">
        <f>H19/(100-BE19)*100</f>
        <v>0</v>
      </c>
      <c r="BE19" s="33">
        <v>0</v>
      </c>
      <c r="BF19" s="33">
        <f>23</f>
        <v>23</v>
      </c>
      <c r="BH19" s="16">
        <f>G19*AO19</f>
        <v>0</v>
      </c>
      <c r="BI19" s="16">
        <f>G19*AP19</f>
        <v>0</v>
      </c>
      <c r="BJ19" s="16">
        <f>G19*H19</f>
        <v>0</v>
      </c>
    </row>
    <row r="20" spans="1:62" ht="12.75">
      <c r="A20" s="4" t="s">
        <v>14</v>
      </c>
      <c r="B20" s="4" t="s">
        <v>288</v>
      </c>
      <c r="C20" s="107" t="s">
        <v>589</v>
      </c>
      <c r="D20" s="108"/>
      <c r="E20" s="108"/>
      <c r="F20" s="4" t="s">
        <v>897</v>
      </c>
      <c r="G20" s="16">
        <v>15.7856</v>
      </c>
      <c r="H20" s="16">
        <v>0</v>
      </c>
      <c r="I20" s="16">
        <f>G20*AO20</f>
        <v>0</v>
      </c>
      <c r="J20" s="16">
        <f>G20*AP20</f>
        <v>0</v>
      </c>
      <c r="K20" s="16">
        <f>G20*H20</f>
        <v>0</v>
      </c>
      <c r="L20" s="27" t="s">
        <v>922</v>
      </c>
      <c r="Z20" s="33">
        <f>IF(AQ20="5",BJ20,0)</f>
        <v>0</v>
      </c>
      <c r="AB20" s="33">
        <f>IF(AQ20="1",BH20,0)</f>
        <v>0</v>
      </c>
      <c r="AC20" s="33">
        <f>IF(AQ20="1",BI20,0)</f>
        <v>0</v>
      </c>
      <c r="AD20" s="33">
        <f>IF(AQ20="7",BH20,0)</f>
        <v>0</v>
      </c>
      <c r="AE20" s="33">
        <f>IF(AQ20="7",BI20,0)</f>
        <v>0</v>
      </c>
      <c r="AF20" s="33">
        <f>IF(AQ20="2",BH20,0)</f>
        <v>0</v>
      </c>
      <c r="AG20" s="33">
        <f>IF(AQ20="2",BI20,0)</f>
        <v>0</v>
      </c>
      <c r="AH20" s="33">
        <f>IF(AQ20="0",BJ20,0)</f>
        <v>0</v>
      </c>
      <c r="AI20" s="28"/>
      <c r="AJ20" s="16">
        <f>IF(AN20=0,K20,0)</f>
        <v>0</v>
      </c>
      <c r="AK20" s="16">
        <f>IF(AN20=15,K20,0)</f>
        <v>0</v>
      </c>
      <c r="AL20" s="16">
        <f>IF(AN20=21,K20,0)</f>
        <v>0</v>
      </c>
      <c r="AN20" s="33">
        <v>21</v>
      </c>
      <c r="AO20" s="33">
        <f>H20*0</f>
        <v>0</v>
      </c>
      <c r="AP20" s="33">
        <f>H20*(1-0)</f>
        <v>0</v>
      </c>
      <c r="AQ20" s="27" t="s">
        <v>7</v>
      </c>
      <c r="AV20" s="33">
        <f>AW20+AX20</f>
        <v>0</v>
      </c>
      <c r="AW20" s="33">
        <f>G20*AO20</f>
        <v>0</v>
      </c>
      <c r="AX20" s="33">
        <f>G20*AP20</f>
        <v>0</v>
      </c>
      <c r="AY20" s="34" t="s">
        <v>936</v>
      </c>
      <c r="AZ20" s="34" t="s">
        <v>993</v>
      </c>
      <c r="BA20" s="28" t="s">
        <v>1007</v>
      </c>
      <c r="BC20" s="33">
        <f>AW20+AX20</f>
        <v>0</v>
      </c>
      <c r="BD20" s="33">
        <f>H20/(100-BE20)*100</f>
        <v>0</v>
      </c>
      <c r="BE20" s="33">
        <v>0</v>
      </c>
      <c r="BF20" s="33">
        <f>24</f>
        <v>24</v>
      </c>
      <c r="BH20" s="16">
        <f>G20*AO20</f>
        <v>0</v>
      </c>
      <c r="BI20" s="16">
        <f>G20*AP20</f>
        <v>0</v>
      </c>
      <c r="BJ20" s="16">
        <f>G20*H20</f>
        <v>0</v>
      </c>
    </row>
    <row r="21" spans="1:47" ht="12.75">
      <c r="A21" s="5"/>
      <c r="B21" s="13" t="s">
        <v>17</v>
      </c>
      <c r="C21" s="109" t="s">
        <v>590</v>
      </c>
      <c r="D21" s="110"/>
      <c r="E21" s="110"/>
      <c r="F21" s="5" t="s">
        <v>6</v>
      </c>
      <c r="G21" s="5" t="s">
        <v>6</v>
      </c>
      <c r="H21" s="5" t="s">
        <v>6</v>
      </c>
      <c r="I21" s="36">
        <f>SUM(I22:I25)</f>
        <v>0</v>
      </c>
      <c r="J21" s="36">
        <f>SUM(J22:J25)</f>
        <v>0</v>
      </c>
      <c r="K21" s="36">
        <f>SUM(K22:K25)</f>
        <v>0</v>
      </c>
      <c r="L21" s="28"/>
      <c r="AI21" s="28"/>
      <c r="AS21" s="36">
        <f>SUM(AJ22:AJ25)</f>
        <v>0</v>
      </c>
      <c r="AT21" s="36">
        <f>SUM(AK22:AK25)</f>
        <v>0</v>
      </c>
      <c r="AU21" s="36">
        <f>SUM(AL22:AL25)</f>
        <v>0</v>
      </c>
    </row>
    <row r="22" spans="1:62" ht="12.75">
      <c r="A22" s="4" t="s">
        <v>15</v>
      </c>
      <c r="B22" s="4" t="s">
        <v>289</v>
      </c>
      <c r="C22" s="107" t="s">
        <v>591</v>
      </c>
      <c r="D22" s="108"/>
      <c r="E22" s="108"/>
      <c r="F22" s="4" t="s">
        <v>897</v>
      </c>
      <c r="G22" s="16">
        <v>15.84</v>
      </c>
      <c r="H22" s="16">
        <v>0</v>
      </c>
      <c r="I22" s="16">
        <f>G22*AO22</f>
        <v>0</v>
      </c>
      <c r="J22" s="16">
        <f>G22*AP22</f>
        <v>0</v>
      </c>
      <c r="K22" s="16">
        <f>G22*H22</f>
        <v>0</v>
      </c>
      <c r="L22" s="27" t="s">
        <v>922</v>
      </c>
      <c r="Z22" s="33">
        <f>IF(AQ22="5",BJ22,0)</f>
        <v>0</v>
      </c>
      <c r="AB22" s="33">
        <f>IF(AQ22="1",BH22,0)</f>
        <v>0</v>
      </c>
      <c r="AC22" s="33">
        <f>IF(AQ22="1",BI22,0)</f>
        <v>0</v>
      </c>
      <c r="AD22" s="33">
        <f>IF(AQ22="7",BH22,0)</f>
        <v>0</v>
      </c>
      <c r="AE22" s="33">
        <f>IF(AQ22="7",BI22,0)</f>
        <v>0</v>
      </c>
      <c r="AF22" s="33">
        <f>IF(AQ22="2",BH22,0)</f>
        <v>0</v>
      </c>
      <c r="AG22" s="33">
        <f>IF(AQ22="2",BI22,0)</f>
        <v>0</v>
      </c>
      <c r="AH22" s="33">
        <f>IF(AQ22="0",BJ22,0)</f>
        <v>0</v>
      </c>
      <c r="AI22" s="28"/>
      <c r="AJ22" s="16">
        <f>IF(AN22=0,K22,0)</f>
        <v>0</v>
      </c>
      <c r="AK22" s="16">
        <f>IF(AN22=15,K22,0)</f>
        <v>0</v>
      </c>
      <c r="AL22" s="16">
        <f>IF(AN22=21,K22,0)</f>
        <v>0</v>
      </c>
      <c r="AN22" s="33">
        <v>21</v>
      </c>
      <c r="AO22" s="33">
        <f>H22*0</f>
        <v>0</v>
      </c>
      <c r="AP22" s="33">
        <f>H22*(1-0)</f>
        <v>0</v>
      </c>
      <c r="AQ22" s="27" t="s">
        <v>7</v>
      </c>
      <c r="AV22" s="33">
        <f>AW22+AX22</f>
        <v>0</v>
      </c>
      <c r="AW22" s="33">
        <f>G22*AO22</f>
        <v>0</v>
      </c>
      <c r="AX22" s="33">
        <f>G22*AP22</f>
        <v>0</v>
      </c>
      <c r="AY22" s="34" t="s">
        <v>937</v>
      </c>
      <c r="AZ22" s="34" t="s">
        <v>993</v>
      </c>
      <c r="BA22" s="28" t="s">
        <v>1007</v>
      </c>
      <c r="BC22" s="33">
        <f>AW22+AX22</f>
        <v>0</v>
      </c>
      <c r="BD22" s="33">
        <f>H22/(100-BE22)*100</f>
        <v>0</v>
      </c>
      <c r="BE22" s="33">
        <v>0</v>
      </c>
      <c r="BF22" s="33">
        <f>26</f>
        <v>26</v>
      </c>
      <c r="BH22" s="16">
        <f>G22*AO22</f>
        <v>0</v>
      </c>
      <c r="BI22" s="16">
        <f>G22*AP22</f>
        <v>0</v>
      </c>
      <c r="BJ22" s="16">
        <f>G22*H22</f>
        <v>0</v>
      </c>
    </row>
    <row r="23" spans="1:62" ht="12.75">
      <c r="A23" s="4" t="s">
        <v>16</v>
      </c>
      <c r="B23" s="4" t="s">
        <v>290</v>
      </c>
      <c r="C23" s="107" t="s">
        <v>592</v>
      </c>
      <c r="D23" s="108"/>
      <c r="E23" s="108"/>
      <c r="F23" s="4" t="s">
        <v>897</v>
      </c>
      <c r="G23" s="16">
        <v>15.84</v>
      </c>
      <c r="H23" s="16">
        <v>0</v>
      </c>
      <c r="I23" s="16">
        <f>G23*AO23</f>
        <v>0</v>
      </c>
      <c r="J23" s="16">
        <f>G23*AP23</f>
        <v>0</v>
      </c>
      <c r="K23" s="16">
        <f>G23*H23</f>
        <v>0</v>
      </c>
      <c r="L23" s="27" t="s">
        <v>922</v>
      </c>
      <c r="Z23" s="33">
        <f>IF(AQ23="5",BJ23,0)</f>
        <v>0</v>
      </c>
      <c r="AB23" s="33">
        <f>IF(AQ23="1",BH23,0)</f>
        <v>0</v>
      </c>
      <c r="AC23" s="33">
        <f>IF(AQ23="1",BI23,0)</f>
        <v>0</v>
      </c>
      <c r="AD23" s="33">
        <f>IF(AQ23="7",BH23,0)</f>
        <v>0</v>
      </c>
      <c r="AE23" s="33">
        <f>IF(AQ23="7",BI23,0)</f>
        <v>0</v>
      </c>
      <c r="AF23" s="33">
        <f>IF(AQ23="2",BH23,0)</f>
        <v>0</v>
      </c>
      <c r="AG23" s="33">
        <f>IF(AQ23="2",BI23,0)</f>
        <v>0</v>
      </c>
      <c r="AH23" s="33">
        <f>IF(AQ23="0",BJ23,0)</f>
        <v>0</v>
      </c>
      <c r="AI23" s="28"/>
      <c r="AJ23" s="16">
        <f>IF(AN23=0,K23,0)</f>
        <v>0</v>
      </c>
      <c r="AK23" s="16">
        <f>IF(AN23=15,K23,0)</f>
        <v>0</v>
      </c>
      <c r="AL23" s="16">
        <f>IF(AN23=21,K23,0)</f>
        <v>0</v>
      </c>
      <c r="AN23" s="33">
        <v>21</v>
      </c>
      <c r="AO23" s="33">
        <f>H23*0</f>
        <v>0</v>
      </c>
      <c r="AP23" s="33">
        <f>H23*(1-0)</f>
        <v>0</v>
      </c>
      <c r="AQ23" s="27" t="s">
        <v>7</v>
      </c>
      <c r="AV23" s="33">
        <f>AW23+AX23</f>
        <v>0</v>
      </c>
      <c r="AW23" s="33">
        <f>G23*AO23</f>
        <v>0</v>
      </c>
      <c r="AX23" s="33">
        <f>G23*AP23</f>
        <v>0</v>
      </c>
      <c r="AY23" s="34" t="s">
        <v>937</v>
      </c>
      <c r="AZ23" s="34" t="s">
        <v>993</v>
      </c>
      <c r="BA23" s="28" t="s">
        <v>1007</v>
      </c>
      <c r="BC23" s="33">
        <f>AW23+AX23</f>
        <v>0</v>
      </c>
      <c r="BD23" s="33">
        <f>H23/(100-BE23)*100</f>
        <v>0</v>
      </c>
      <c r="BE23" s="33">
        <v>0</v>
      </c>
      <c r="BF23" s="33">
        <f>27</f>
        <v>27</v>
      </c>
      <c r="BH23" s="16">
        <f>G23*AO23</f>
        <v>0</v>
      </c>
      <c r="BI23" s="16">
        <f>G23*AP23</f>
        <v>0</v>
      </c>
      <c r="BJ23" s="16">
        <f>G23*H23</f>
        <v>0</v>
      </c>
    </row>
    <row r="24" spans="1:62" ht="12.75">
      <c r="A24" s="4" t="s">
        <v>17</v>
      </c>
      <c r="B24" s="4" t="s">
        <v>289</v>
      </c>
      <c r="C24" s="107" t="s">
        <v>593</v>
      </c>
      <c r="D24" s="108"/>
      <c r="E24" s="108"/>
      <c r="F24" s="4" t="s">
        <v>897</v>
      </c>
      <c r="G24" s="16">
        <v>10.35</v>
      </c>
      <c r="H24" s="16">
        <v>0</v>
      </c>
      <c r="I24" s="16">
        <f>G24*AO24</f>
        <v>0</v>
      </c>
      <c r="J24" s="16">
        <f>G24*AP24</f>
        <v>0</v>
      </c>
      <c r="K24" s="16">
        <f>G24*H24</f>
        <v>0</v>
      </c>
      <c r="L24" s="27" t="s">
        <v>922</v>
      </c>
      <c r="Z24" s="33">
        <f>IF(AQ24="5",BJ24,0)</f>
        <v>0</v>
      </c>
      <c r="AB24" s="33">
        <f>IF(AQ24="1",BH24,0)</f>
        <v>0</v>
      </c>
      <c r="AC24" s="33">
        <f>IF(AQ24="1",BI24,0)</f>
        <v>0</v>
      </c>
      <c r="AD24" s="33">
        <f>IF(AQ24="7",BH24,0)</f>
        <v>0</v>
      </c>
      <c r="AE24" s="33">
        <f>IF(AQ24="7",BI24,0)</f>
        <v>0</v>
      </c>
      <c r="AF24" s="33">
        <f>IF(AQ24="2",BH24,0)</f>
        <v>0</v>
      </c>
      <c r="AG24" s="33">
        <f>IF(AQ24="2",BI24,0)</f>
        <v>0</v>
      </c>
      <c r="AH24" s="33">
        <f>IF(AQ24="0",BJ24,0)</f>
        <v>0</v>
      </c>
      <c r="AI24" s="28"/>
      <c r="AJ24" s="16">
        <f>IF(AN24=0,K24,0)</f>
        <v>0</v>
      </c>
      <c r="AK24" s="16">
        <f>IF(AN24=15,K24,0)</f>
        <v>0</v>
      </c>
      <c r="AL24" s="16">
        <f>IF(AN24=21,K24,0)</f>
        <v>0</v>
      </c>
      <c r="AN24" s="33">
        <v>21</v>
      </c>
      <c r="AO24" s="33">
        <f>H24*0</f>
        <v>0</v>
      </c>
      <c r="AP24" s="33">
        <f>H24*(1-0)</f>
        <v>0</v>
      </c>
      <c r="AQ24" s="27" t="s">
        <v>7</v>
      </c>
      <c r="AV24" s="33">
        <f>AW24+AX24</f>
        <v>0</v>
      </c>
      <c r="AW24" s="33">
        <f>G24*AO24</f>
        <v>0</v>
      </c>
      <c r="AX24" s="33">
        <f>G24*AP24</f>
        <v>0</v>
      </c>
      <c r="AY24" s="34" t="s">
        <v>937</v>
      </c>
      <c r="AZ24" s="34" t="s">
        <v>993</v>
      </c>
      <c r="BA24" s="28" t="s">
        <v>1007</v>
      </c>
      <c r="BC24" s="33">
        <f>AW24+AX24</f>
        <v>0</v>
      </c>
      <c r="BD24" s="33">
        <f>H24/(100-BE24)*100</f>
        <v>0</v>
      </c>
      <c r="BE24" s="33">
        <v>0</v>
      </c>
      <c r="BF24" s="33">
        <f>28</f>
        <v>28</v>
      </c>
      <c r="BH24" s="16">
        <f>G24*AO24</f>
        <v>0</v>
      </c>
      <c r="BI24" s="16">
        <f>G24*AP24</f>
        <v>0</v>
      </c>
      <c r="BJ24" s="16">
        <f>G24*H24</f>
        <v>0</v>
      </c>
    </row>
    <row r="25" spans="1:62" ht="12.75">
      <c r="A25" s="4" t="s">
        <v>18</v>
      </c>
      <c r="B25" s="4" t="s">
        <v>290</v>
      </c>
      <c r="C25" s="107" t="s">
        <v>592</v>
      </c>
      <c r="D25" s="108"/>
      <c r="E25" s="108"/>
      <c r="F25" s="4" t="s">
        <v>897</v>
      </c>
      <c r="G25" s="16">
        <v>10.35</v>
      </c>
      <c r="H25" s="16">
        <v>0</v>
      </c>
      <c r="I25" s="16">
        <f>G25*AO25</f>
        <v>0</v>
      </c>
      <c r="J25" s="16">
        <f>G25*AP25</f>
        <v>0</v>
      </c>
      <c r="K25" s="16">
        <f>G25*H25</f>
        <v>0</v>
      </c>
      <c r="L25" s="27" t="s">
        <v>922</v>
      </c>
      <c r="Z25" s="33">
        <f>IF(AQ25="5",BJ25,0)</f>
        <v>0</v>
      </c>
      <c r="AB25" s="33">
        <f>IF(AQ25="1",BH25,0)</f>
        <v>0</v>
      </c>
      <c r="AC25" s="33">
        <f>IF(AQ25="1",BI25,0)</f>
        <v>0</v>
      </c>
      <c r="AD25" s="33">
        <f>IF(AQ25="7",BH25,0)</f>
        <v>0</v>
      </c>
      <c r="AE25" s="33">
        <f>IF(AQ25="7",BI25,0)</f>
        <v>0</v>
      </c>
      <c r="AF25" s="33">
        <f>IF(AQ25="2",BH25,0)</f>
        <v>0</v>
      </c>
      <c r="AG25" s="33">
        <f>IF(AQ25="2",BI25,0)</f>
        <v>0</v>
      </c>
      <c r="AH25" s="33">
        <f>IF(AQ25="0",BJ25,0)</f>
        <v>0</v>
      </c>
      <c r="AI25" s="28"/>
      <c r="AJ25" s="16">
        <f>IF(AN25=0,K25,0)</f>
        <v>0</v>
      </c>
      <c r="AK25" s="16">
        <f>IF(AN25=15,K25,0)</f>
        <v>0</v>
      </c>
      <c r="AL25" s="16">
        <f>IF(AN25=21,K25,0)</f>
        <v>0</v>
      </c>
      <c r="AN25" s="33">
        <v>21</v>
      </c>
      <c r="AO25" s="33">
        <f>H25*0</f>
        <v>0</v>
      </c>
      <c r="AP25" s="33">
        <f>H25*(1-0)</f>
        <v>0</v>
      </c>
      <c r="AQ25" s="27" t="s">
        <v>7</v>
      </c>
      <c r="AV25" s="33">
        <f>AW25+AX25</f>
        <v>0</v>
      </c>
      <c r="AW25" s="33">
        <f>G25*AO25</f>
        <v>0</v>
      </c>
      <c r="AX25" s="33">
        <f>G25*AP25</f>
        <v>0</v>
      </c>
      <c r="AY25" s="34" t="s">
        <v>937</v>
      </c>
      <c r="AZ25" s="34" t="s">
        <v>993</v>
      </c>
      <c r="BA25" s="28" t="s">
        <v>1007</v>
      </c>
      <c r="BC25" s="33">
        <f>AW25+AX25</f>
        <v>0</v>
      </c>
      <c r="BD25" s="33">
        <f>H25/(100-BE25)*100</f>
        <v>0</v>
      </c>
      <c r="BE25" s="33">
        <v>0</v>
      </c>
      <c r="BF25" s="33">
        <f>29</f>
        <v>29</v>
      </c>
      <c r="BH25" s="16">
        <f>G25*AO25</f>
        <v>0</v>
      </c>
      <c r="BI25" s="16">
        <f>G25*AP25</f>
        <v>0</v>
      </c>
      <c r="BJ25" s="16">
        <f>G25*H25</f>
        <v>0</v>
      </c>
    </row>
    <row r="26" spans="1:47" ht="12.75">
      <c r="A26" s="5"/>
      <c r="B26" s="13" t="s">
        <v>20</v>
      </c>
      <c r="C26" s="109" t="s">
        <v>594</v>
      </c>
      <c r="D26" s="110"/>
      <c r="E26" s="110"/>
      <c r="F26" s="5" t="s">
        <v>6</v>
      </c>
      <c r="G26" s="5" t="s">
        <v>6</v>
      </c>
      <c r="H26" s="5" t="s">
        <v>6</v>
      </c>
      <c r="I26" s="36">
        <f>SUM(I27:I30)</f>
        <v>0</v>
      </c>
      <c r="J26" s="36">
        <f>SUM(J27:J30)</f>
        <v>0</v>
      </c>
      <c r="K26" s="36">
        <f>SUM(K27:K30)</f>
        <v>0</v>
      </c>
      <c r="L26" s="28"/>
      <c r="AI26" s="28"/>
      <c r="AS26" s="36">
        <f>SUM(AJ27:AJ30)</f>
        <v>0</v>
      </c>
      <c r="AT26" s="36">
        <f>SUM(AK27:AK30)</f>
        <v>0</v>
      </c>
      <c r="AU26" s="36">
        <f>SUM(AL27:AL30)</f>
        <v>0</v>
      </c>
    </row>
    <row r="27" spans="1:62" ht="12.75">
      <c r="A27" s="4" t="s">
        <v>19</v>
      </c>
      <c r="B27" s="4" t="s">
        <v>291</v>
      </c>
      <c r="C27" s="107" t="s">
        <v>595</v>
      </c>
      <c r="D27" s="108"/>
      <c r="E27" s="108"/>
      <c r="F27" s="4" t="s">
        <v>897</v>
      </c>
      <c r="G27" s="16">
        <v>50.98</v>
      </c>
      <c r="H27" s="16">
        <v>0</v>
      </c>
      <c r="I27" s="16">
        <f>G27*AO27</f>
        <v>0</v>
      </c>
      <c r="J27" s="16">
        <f>G27*AP27</f>
        <v>0</v>
      </c>
      <c r="K27" s="16">
        <f>G27*H27</f>
        <v>0</v>
      </c>
      <c r="L27" s="27" t="s">
        <v>922</v>
      </c>
      <c r="Z27" s="33">
        <f>IF(AQ27="5",BJ27,0)</f>
        <v>0</v>
      </c>
      <c r="AB27" s="33">
        <f>IF(AQ27="1",BH27,0)</f>
        <v>0</v>
      </c>
      <c r="AC27" s="33">
        <f>IF(AQ27="1",BI27,0)</f>
        <v>0</v>
      </c>
      <c r="AD27" s="33">
        <f>IF(AQ27="7",BH27,0)</f>
        <v>0</v>
      </c>
      <c r="AE27" s="33">
        <f>IF(AQ27="7",BI27,0)</f>
        <v>0</v>
      </c>
      <c r="AF27" s="33">
        <f>IF(AQ27="2",BH27,0)</f>
        <v>0</v>
      </c>
      <c r="AG27" s="33">
        <f>IF(AQ27="2",BI27,0)</f>
        <v>0</v>
      </c>
      <c r="AH27" s="33">
        <f>IF(AQ27="0",BJ27,0)</f>
        <v>0</v>
      </c>
      <c r="AI27" s="28"/>
      <c r="AJ27" s="16">
        <f>IF(AN27=0,K27,0)</f>
        <v>0</v>
      </c>
      <c r="AK27" s="16">
        <f>IF(AN27=15,K27,0)</f>
        <v>0</v>
      </c>
      <c r="AL27" s="16">
        <f>IF(AN27=21,K27,0)</f>
        <v>0</v>
      </c>
      <c r="AN27" s="33">
        <v>21</v>
      </c>
      <c r="AO27" s="33">
        <f>H27*0</f>
        <v>0</v>
      </c>
      <c r="AP27" s="33">
        <f>H27*(1-0)</f>
        <v>0</v>
      </c>
      <c r="AQ27" s="27" t="s">
        <v>7</v>
      </c>
      <c r="AV27" s="33">
        <f>AW27+AX27</f>
        <v>0</v>
      </c>
      <c r="AW27" s="33">
        <f>G27*AO27</f>
        <v>0</v>
      </c>
      <c r="AX27" s="33">
        <f>G27*AP27</f>
        <v>0</v>
      </c>
      <c r="AY27" s="34" t="s">
        <v>938</v>
      </c>
      <c r="AZ27" s="34" t="s">
        <v>993</v>
      </c>
      <c r="BA27" s="28" t="s">
        <v>1007</v>
      </c>
      <c r="BC27" s="33">
        <f>AW27+AX27</f>
        <v>0</v>
      </c>
      <c r="BD27" s="33">
        <f>H27/(100-BE27)*100</f>
        <v>0</v>
      </c>
      <c r="BE27" s="33">
        <v>0</v>
      </c>
      <c r="BF27" s="33">
        <f>31</f>
        <v>31</v>
      </c>
      <c r="BH27" s="16">
        <f>G27*AO27</f>
        <v>0</v>
      </c>
      <c r="BI27" s="16">
        <f>G27*AP27</f>
        <v>0</v>
      </c>
      <c r="BJ27" s="16">
        <f>G27*H27</f>
        <v>0</v>
      </c>
    </row>
    <row r="28" spans="1:62" ht="12.75">
      <c r="A28" s="4" t="s">
        <v>20</v>
      </c>
      <c r="B28" s="4" t="s">
        <v>291</v>
      </c>
      <c r="C28" s="107" t="s">
        <v>596</v>
      </c>
      <c r="D28" s="108"/>
      <c r="E28" s="108"/>
      <c r="F28" s="4" t="s">
        <v>897</v>
      </c>
      <c r="G28" s="16">
        <v>5.2</v>
      </c>
      <c r="H28" s="16">
        <v>0</v>
      </c>
      <c r="I28" s="16">
        <f>G28*AO28</f>
        <v>0</v>
      </c>
      <c r="J28" s="16">
        <f>G28*AP28</f>
        <v>0</v>
      </c>
      <c r="K28" s="16">
        <f>G28*H28</f>
        <v>0</v>
      </c>
      <c r="L28" s="27" t="s">
        <v>922</v>
      </c>
      <c r="Z28" s="33">
        <f>IF(AQ28="5",BJ28,0)</f>
        <v>0</v>
      </c>
      <c r="AB28" s="33">
        <f>IF(AQ28="1",BH28,0)</f>
        <v>0</v>
      </c>
      <c r="AC28" s="33">
        <f>IF(AQ28="1",BI28,0)</f>
        <v>0</v>
      </c>
      <c r="AD28" s="33">
        <f>IF(AQ28="7",BH28,0)</f>
        <v>0</v>
      </c>
      <c r="AE28" s="33">
        <f>IF(AQ28="7",BI28,0)</f>
        <v>0</v>
      </c>
      <c r="AF28" s="33">
        <f>IF(AQ28="2",BH28,0)</f>
        <v>0</v>
      </c>
      <c r="AG28" s="33">
        <f>IF(AQ28="2",BI28,0)</f>
        <v>0</v>
      </c>
      <c r="AH28" s="33">
        <f>IF(AQ28="0",BJ28,0)</f>
        <v>0</v>
      </c>
      <c r="AI28" s="28"/>
      <c r="AJ28" s="16">
        <f>IF(AN28=0,K28,0)</f>
        <v>0</v>
      </c>
      <c r="AK28" s="16">
        <f>IF(AN28=15,K28,0)</f>
        <v>0</v>
      </c>
      <c r="AL28" s="16">
        <f>IF(AN28=21,K28,0)</f>
        <v>0</v>
      </c>
      <c r="AN28" s="33">
        <v>21</v>
      </c>
      <c r="AO28" s="33">
        <f>H28*0</f>
        <v>0</v>
      </c>
      <c r="AP28" s="33">
        <f>H28*(1-0)</f>
        <v>0</v>
      </c>
      <c r="AQ28" s="27" t="s">
        <v>7</v>
      </c>
      <c r="AV28" s="33">
        <f>AW28+AX28</f>
        <v>0</v>
      </c>
      <c r="AW28" s="33">
        <f>G28*AO28</f>
        <v>0</v>
      </c>
      <c r="AX28" s="33">
        <f>G28*AP28</f>
        <v>0</v>
      </c>
      <c r="AY28" s="34" t="s">
        <v>938</v>
      </c>
      <c r="AZ28" s="34" t="s">
        <v>993</v>
      </c>
      <c r="BA28" s="28" t="s">
        <v>1007</v>
      </c>
      <c r="BC28" s="33">
        <f>AW28+AX28</f>
        <v>0</v>
      </c>
      <c r="BD28" s="33">
        <f>H28/(100-BE28)*100</f>
        <v>0</v>
      </c>
      <c r="BE28" s="33">
        <v>0</v>
      </c>
      <c r="BF28" s="33">
        <f>32</f>
        <v>32</v>
      </c>
      <c r="BH28" s="16">
        <f>G28*AO28</f>
        <v>0</v>
      </c>
      <c r="BI28" s="16">
        <f>G28*AP28</f>
        <v>0</v>
      </c>
      <c r="BJ28" s="16">
        <f>G28*H28</f>
        <v>0</v>
      </c>
    </row>
    <row r="29" spans="1:62" ht="12.75">
      <c r="A29" s="4" t="s">
        <v>21</v>
      </c>
      <c r="B29" s="4" t="s">
        <v>292</v>
      </c>
      <c r="C29" s="107" t="s">
        <v>597</v>
      </c>
      <c r="D29" s="108"/>
      <c r="E29" s="108"/>
      <c r="F29" s="4" t="s">
        <v>897</v>
      </c>
      <c r="G29" s="16">
        <v>68</v>
      </c>
      <c r="H29" s="16">
        <v>0</v>
      </c>
      <c r="I29" s="16">
        <f>G29*AO29</f>
        <v>0</v>
      </c>
      <c r="J29" s="16">
        <f>G29*AP29</f>
        <v>0</v>
      </c>
      <c r="K29" s="16">
        <f>G29*H29</f>
        <v>0</v>
      </c>
      <c r="L29" s="27" t="s">
        <v>922</v>
      </c>
      <c r="Z29" s="33">
        <f>IF(AQ29="5",BJ29,0)</f>
        <v>0</v>
      </c>
      <c r="AB29" s="33">
        <f>IF(AQ29="1",BH29,0)</f>
        <v>0</v>
      </c>
      <c r="AC29" s="33">
        <f>IF(AQ29="1",BI29,0)</f>
        <v>0</v>
      </c>
      <c r="AD29" s="33">
        <f>IF(AQ29="7",BH29,0)</f>
        <v>0</v>
      </c>
      <c r="AE29" s="33">
        <f>IF(AQ29="7",BI29,0)</f>
        <v>0</v>
      </c>
      <c r="AF29" s="33">
        <f>IF(AQ29="2",BH29,0)</f>
        <v>0</v>
      </c>
      <c r="AG29" s="33">
        <f>IF(AQ29="2",BI29,0)</f>
        <v>0</v>
      </c>
      <c r="AH29" s="33">
        <f>IF(AQ29="0",BJ29,0)</f>
        <v>0</v>
      </c>
      <c r="AI29" s="28"/>
      <c r="AJ29" s="16">
        <f>IF(AN29=0,K29,0)</f>
        <v>0</v>
      </c>
      <c r="AK29" s="16">
        <f>IF(AN29=15,K29,0)</f>
        <v>0</v>
      </c>
      <c r="AL29" s="16">
        <f>IF(AN29=21,K29,0)</f>
        <v>0</v>
      </c>
      <c r="AN29" s="33">
        <v>21</v>
      </c>
      <c r="AO29" s="33">
        <f>H29*0</f>
        <v>0</v>
      </c>
      <c r="AP29" s="33">
        <f>H29*(1-0)</f>
        <v>0</v>
      </c>
      <c r="AQ29" s="27" t="s">
        <v>7</v>
      </c>
      <c r="AV29" s="33">
        <f>AW29+AX29</f>
        <v>0</v>
      </c>
      <c r="AW29" s="33">
        <f>G29*AO29</f>
        <v>0</v>
      </c>
      <c r="AX29" s="33">
        <f>G29*AP29</f>
        <v>0</v>
      </c>
      <c r="AY29" s="34" t="s">
        <v>938</v>
      </c>
      <c r="AZ29" s="34" t="s">
        <v>993</v>
      </c>
      <c r="BA29" s="28" t="s">
        <v>1007</v>
      </c>
      <c r="BC29" s="33">
        <f>AW29+AX29</f>
        <v>0</v>
      </c>
      <c r="BD29" s="33">
        <f>H29/(100-BE29)*100</f>
        <v>0</v>
      </c>
      <c r="BE29" s="33">
        <v>0</v>
      </c>
      <c r="BF29" s="33">
        <f>33</f>
        <v>33</v>
      </c>
      <c r="BH29" s="16">
        <f>G29*AO29</f>
        <v>0</v>
      </c>
      <c r="BI29" s="16">
        <f>G29*AP29</f>
        <v>0</v>
      </c>
      <c r="BJ29" s="16">
        <f>G29*H29</f>
        <v>0</v>
      </c>
    </row>
    <row r="30" spans="1:62" ht="12.75">
      <c r="A30" s="4" t="s">
        <v>22</v>
      </c>
      <c r="B30" s="4" t="s">
        <v>292</v>
      </c>
      <c r="C30" s="107" t="s">
        <v>598</v>
      </c>
      <c r="D30" s="108"/>
      <c r="E30" s="108"/>
      <c r="F30" s="4" t="s">
        <v>897</v>
      </c>
      <c r="G30" s="16">
        <v>1000</v>
      </c>
      <c r="H30" s="16">
        <v>0</v>
      </c>
      <c r="I30" s="16">
        <f>G30*AO30</f>
        <v>0</v>
      </c>
      <c r="J30" s="16">
        <f>G30*AP30</f>
        <v>0</v>
      </c>
      <c r="K30" s="16">
        <f>G30*H30</f>
        <v>0</v>
      </c>
      <c r="L30" s="27" t="s">
        <v>922</v>
      </c>
      <c r="Z30" s="33">
        <f>IF(AQ30="5",BJ30,0)</f>
        <v>0</v>
      </c>
      <c r="AB30" s="33">
        <f>IF(AQ30="1",BH30,0)</f>
        <v>0</v>
      </c>
      <c r="AC30" s="33">
        <f>IF(AQ30="1",BI30,0)</f>
        <v>0</v>
      </c>
      <c r="AD30" s="33">
        <f>IF(AQ30="7",BH30,0)</f>
        <v>0</v>
      </c>
      <c r="AE30" s="33">
        <f>IF(AQ30="7",BI30,0)</f>
        <v>0</v>
      </c>
      <c r="AF30" s="33">
        <f>IF(AQ30="2",BH30,0)</f>
        <v>0</v>
      </c>
      <c r="AG30" s="33">
        <f>IF(AQ30="2",BI30,0)</f>
        <v>0</v>
      </c>
      <c r="AH30" s="33">
        <f>IF(AQ30="0",BJ30,0)</f>
        <v>0</v>
      </c>
      <c r="AI30" s="28"/>
      <c r="AJ30" s="16">
        <f>IF(AN30=0,K30,0)</f>
        <v>0</v>
      </c>
      <c r="AK30" s="16">
        <f>IF(AN30=15,K30,0)</f>
        <v>0</v>
      </c>
      <c r="AL30" s="16">
        <f>IF(AN30=21,K30,0)</f>
        <v>0</v>
      </c>
      <c r="AN30" s="33">
        <v>21</v>
      </c>
      <c r="AO30" s="33">
        <f>H30*0</f>
        <v>0</v>
      </c>
      <c r="AP30" s="33">
        <f>H30*(1-0)</f>
        <v>0</v>
      </c>
      <c r="AQ30" s="27" t="s">
        <v>7</v>
      </c>
      <c r="AV30" s="33">
        <f>AW30+AX30</f>
        <v>0</v>
      </c>
      <c r="AW30" s="33">
        <f>G30*AO30</f>
        <v>0</v>
      </c>
      <c r="AX30" s="33">
        <f>G30*AP30</f>
        <v>0</v>
      </c>
      <c r="AY30" s="34" t="s">
        <v>938</v>
      </c>
      <c r="AZ30" s="34" t="s">
        <v>993</v>
      </c>
      <c r="BA30" s="28" t="s">
        <v>1007</v>
      </c>
      <c r="BC30" s="33">
        <f>AW30+AX30</f>
        <v>0</v>
      </c>
      <c r="BD30" s="33">
        <f>H30/(100-BE30)*100</f>
        <v>0</v>
      </c>
      <c r="BE30" s="33">
        <v>0</v>
      </c>
      <c r="BF30" s="33">
        <f>34</f>
        <v>34</v>
      </c>
      <c r="BH30" s="16">
        <f>G30*AO30</f>
        <v>0</v>
      </c>
      <c r="BI30" s="16">
        <f>G30*AP30</f>
        <v>0</v>
      </c>
      <c r="BJ30" s="16">
        <f>G30*H30</f>
        <v>0</v>
      </c>
    </row>
    <row r="31" spans="1:47" ht="12.75">
      <c r="A31" s="5"/>
      <c r="B31" s="13" t="s">
        <v>21</v>
      </c>
      <c r="C31" s="109" t="s">
        <v>599</v>
      </c>
      <c r="D31" s="110"/>
      <c r="E31" s="110"/>
      <c r="F31" s="5" t="s">
        <v>6</v>
      </c>
      <c r="G31" s="5" t="s">
        <v>6</v>
      </c>
      <c r="H31" s="5" t="s">
        <v>6</v>
      </c>
      <c r="I31" s="36">
        <f>SUM(I32:I33)</f>
        <v>0</v>
      </c>
      <c r="J31" s="36">
        <f>SUM(J32:J33)</f>
        <v>0</v>
      </c>
      <c r="K31" s="36">
        <f>SUM(K32:K33)</f>
        <v>0</v>
      </c>
      <c r="L31" s="28"/>
      <c r="AI31" s="28"/>
      <c r="AS31" s="36">
        <f>SUM(AJ32:AJ33)</f>
        <v>0</v>
      </c>
      <c r="AT31" s="36">
        <f>SUM(AK32:AK33)</f>
        <v>0</v>
      </c>
      <c r="AU31" s="36">
        <f>SUM(AL32:AL33)</f>
        <v>0</v>
      </c>
    </row>
    <row r="32" spans="1:62" ht="12.75">
      <c r="A32" s="4" t="s">
        <v>23</v>
      </c>
      <c r="B32" s="4" t="s">
        <v>293</v>
      </c>
      <c r="C32" s="107" t="s">
        <v>600</v>
      </c>
      <c r="D32" s="108"/>
      <c r="E32" s="108"/>
      <c r="F32" s="4" t="s">
        <v>897</v>
      </c>
      <c r="G32" s="16">
        <v>8.38</v>
      </c>
      <c r="H32" s="16">
        <v>0</v>
      </c>
      <c r="I32" s="16">
        <f>G32*AO32</f>
        <v>0</v>
      </c>
      <c r="J32" s="16">
        <f>G32*AP32</f>
        <v>0</v>
      </c>
      <c r="K32" s="16">
        <f>G32*H32</f>
        <v>0</v>
      </c>
      <c r="L32" s="27" t="s">
        <v>922</v>
      </c>
      <c r="Z32" s="33">
        <f>IF(AQ32="5",BJ32,0)</f>
        <v>0</v>
      </c>
      <c r="AB32" s="33">
        <f>IF(AQ32="1",BH32,0)</f>
        <v>0</v>
      </c>
      <c r="AC32" s="33">
        <f>IF(AQ32="1",BI32,0)</f>
        <v>0</v>
      </c>
      <c r="AD32" s="33">
        <f>IF(AQ32="7",BH32,0)</f>
        <v>0</v>
      </c>
      <c r="AE32" s="33">
        <f>IF(AQ32="7",BI32,0)</f>
        <v>0</v>
      </c>
      <c r="AF32" s="33">
        <f>IF(AQ32="2",BH32,0)</f>
        <v>0</v>
      </c>
      <c r="AG32" s="33">
        <f>IF(AQ32="2",BI32,0)</f>
        <v>0</v>
      </c>
      <c r="AH32" s="33">
        <f>IF(AQ32="0",BJ32,0)</f>
        <v>0</v>
      </c>
      <c r="AI32" s="28"/>
      <c r="AJ32" s="16">
        <f>IF(AN32=0,K32,0)</f>
        <v>0</v>
      </c>
      <c r="AK32" s="16">
        <f>IF(AN32=15,K32,0)</f>
        <v>0</v>
      </c>
      <c r="AL32" s="16">
        <f>IF(AN32=21,K32,0)</f>
        <v>0</v>
      </c>
      <c r="AN32" s="33">
        <v>21</v>
      </c>
      <c r="AO32" s="33">
        <f>H32*0</f>
        <v>0</v>
      </c>
      <c r="AP32" s="33">
        <f>H32*(1-0)</f>
        <v>0</v>
      </c>
      <c r="AQ32" s="27" t="s">
        <v>7</v>
      </c>
      <c r="AV32" s="33">
        <f>AW32+AX32</f>
        <v>0</v>
      </c>
      <c r="AW32" s="33">
        <f>G32*AO32</f>
        <v>0</v>
      </c>
      <c r="AX32" s="33">
        <f>G32*AP32</f>
        <v>0</v>
      </c>
      <c r="AY32" s="34" t="s">
        <v>939</v>
      </c>
      <c r="AZ32" s="34" t="s">
        <v>993</v>
      </c>
      <c r="BA32" s="28" t="s">
        <v>1007</v>
      </c>
      <c r="BC32" s="33">
        <f>AW32+AX32</f>
        <v>0</v>
      </c>
      <c r="BD32" s="33">
        <f>H32/(100-BE32)*100</f>
        <v>0</v>
      </c>
      <c r="BE32" s="33">
        <v>0</v>
      </c>
      <c r="BF32" s="33">
        <f>36</f>
        <v>36</v>
      </c>
      <c r="BH32" s="16">
        <f>G32*AO32</f>
        <v>0</v>
      </c>
      <c r="BI32" s="16">
        <f>G32*AP32</f>
        <v>0</v>
      </c>
      <c r="BJ32" s="16">
        <f>G32*H32</f>
        <v>0</v>
      </c>
    </row>
    <row r="33" spans="1:62" ht="12.75">
      <c r="A33" s="4" t="s">
        <v>24</v>
      </c>
      <c r="B33" s="4" t="s">
        <v>294</v>
      </c>
      <c r="C33" s="107" t="s">
        <v>601</v>
      </c>
      <c r="D33" s="108"/>
      <c r="E33" s="108"/>
      <c r="F33" s="4" t="s">
        <v>897</v>
      </c>
      <c r="G33" s="16">
        <v>3.4</v>
      </c>
      <c r="H33" s="16">
        <v>0</v>
      </c>
      <c r="I33" s="16">
        <f>G33*AO33</f>
        <v>0</v>
      </c>
      <c r="J33" s="16">
        <f>G33*AP33</f>
        <v>0</v>
      </c>
      <c r="K33" s="16">
        <f>G33*H33</f>
        <v>0</v>
      </c>
      <c r="L33" s="27" t="s">
        <v>922</v>
      </c>
      <c r="Z33" s="33">
        <f>IF(AQ33="5",BJ33,0)</f>
        <v>0</v>
      </c>
      <c r="AB33" s="33">
        <f>IF(AQ33="1",BH33,0)</f>
        <v>0</v>
      </c>
      <c r="AC33" s="33">
        <f>IF(AQ33="1",BI33,0)</f>
        <v>0</v>
      </c>
      <c r="AD33" s="33">
        <f>IF(AQ33="7",BH33,0)</f>
        <v>0</v>
      </c>
      <c r="AE33" s="33">
        <f>IF(AQ33="7",BI33,0)</f>
        <v>0</v>
      </c>
      <c r="AF33" s="33">
        <f>IF(AQ33="2",BH33,0)</f>
        <v>0</v>
      </c>
      <c r="AG33" s="33">
        <f>IF(AQ33="2",BI33,0)</f>
        <v>0</v>
      </c>
      <c r="AH33" s="33">
        <f>IF(AQ33="0",BJ33,0)</f>
        <v>0</v>
      </c>
      <c r="AI33" s="28"/>
      <c r="AJ33" s="16">
        <f>IF(AN33=0,K33,0)</f>
        <v>0</v>
      </c>
      <c r="AK33" s="16">
        <f>IF(AN33=15,K33,0)</f>
        <v>0</v>
      </c>
      <c r="AL33" s="16">
        <f>IF(AN33=21,K33,0)</f>
        <v>0</v>
      </c>
      <c r="AN33" s="33">
        <v>21</v>
      </c>
      <c r="AO33" s="33">
        <f>H33*0.482899824253076</f>
        <v>0</v>
      </c>
      <c r="AP33" s="33">
        <f>H33*(1-0.482899824253076)</f>
        <v>0</v>
      </c>
      <c r="AQ33" s="27" t="s">
        <v>7</v>
      </c>
      <c r="AV33" s="33">
        <f>AW33+AX33</f>
        <v>0</v>
      </c>
      <c r="AW33" s="33">
        <f>G33*AO33</f>
        <v>0</v>
      </c>
      <c r="AX33" s="33">
        <f>G33*AP33</f>
        <v>0</v>
      </c>
      <c r="AY33" s="34" t="s">
        <v>939</v>
      </c>
      <c r="AZ33" s="34" t="s">
        <v>993</v>
      </c>
      <c r="BA33" s="28" t="s">
        <v>1007</v>
      </c>
      <c r="BC33" s="33">
        <f>AW33+AX33</f>
        <v>0</v>
      </c>
      <c r="BD33" s="33">
        <f>H33/(100-BE33)*100</f>
        <v>0</v>
      </c>
      <c r="BE33" s="33">
        <v>0</v>
      </c>
      <c r="BF33" s="33">
        <f>37</f>
        <v>37</v>
      </c>
      <c r="BH33" s="16">
        <f>G33*AO33</f>
        <v>0</v>
      </c>
      <c r="BI33" s="16">
        <f>G33*AP33</f>
        <v>0</v>
      </c>
      <c r="BJ33" s="16">
        <f>G33*H33</f>
        <v>0</v>
      </c>
    </row>
    <row r="34" spans="1:47" ht="12.75">
      <c r="A34" s="5"/>
      <c r="B34" s="13" t="s">
        <v>31</v>
      </c>
      <c r="C34" s="109" t="s">
        <v>602</v>
      </c>
      <c r="D34" s="110"/>
      <c r="E34" s="110"/>
      <c r="F34" s="5" t="s">
        <v>6</v>
      </c>
      <c r="G34" s="5" t="s">
        <v>6</v>
      </c>
      <c r="H34" s="5" t="s">
        <v>6</v>
      </c>
      <c r="I34" s="36">
        <f>SUM(I35:I43)</f>
        <v>0</v>
      </c>
      <c r="J34" s="36">
        <f>SUM(J35:J43)</f>
        <v>0</v>
      </c>
      <c r="K34" s="36">
        <f>SUM(K35:K43)</f>
        <v>0</v>
      </c>
      <c r="L34" s="28"/>
      <c r="AI34" s="28"/>
      <c r="AS34" s="36">
        <f>SUM(AJ35:AJ43)</f>
        <v>0</v>
      </c>
      <c r="AT34" s="36">
        <f>SUM(AK35:AK43)</f>
        <v>0</v>
      </c>
      <c r="AU34" s="36">
        <f>SUM(AL35:AL43)</f>
        <v>0</v>
      </c>
    </row>
    <row r="35" spans="1:62" ht="12.75">
      <c r="A35" s="4" t="s">
        <v>25</v>
      </c>
      <c r="B35" s="4" t="s">
        <v>295</v>
      </c>
      <c r="C35" s="107" t="s">
        <v>603</v>
      </c>
      <c r="D35" s="108"/>
      <c r="E35" s="108"/>
      <c r="F35" s="4" t="s">
        <v>897</v>
      </c>
      <c r="G35" s="16">
        <v>4.86054</v>
      </c>
      <c r="H35" s="16">
        <v>0</v>
      </c>
      <c r="I35" s="16">
        <f aca="true" t="shared" si="0" ref="I35:I43">G35*AO35</f>
        <v>0</v>
      </c>
      <c r="J35" s="16">
        <f aca="true" t="shared" si="1" ref="J35:J43">G35*AP35</f>
        <v>0</v>
      </c>
      <c r="K35" s="16">
        <f aca="true" t="shared" si="2" ref="K35:K43">G35*H35</f>
        <v>0</v>
      </c>
      <c r="L35" s="27" t="s">
        <v>922</v>
      </c>
      <c r="Z35" s="33">
        <f aca="true" t="shared" si="3" ref="Z35:Z43">IF(AQ35="5",BJ35,0)</f>
        <v>0</v>
      </c>
      <c r="AB35" s="33">
        <f aca="true" t="shared" si="4" ref="AB35:AB43">IF(AQ35="1",BH35,0)</f>
        <v>0</v>
      </c>
      <c r="AC35" s="33">
        <f aca="true" t="shared" si="5" ref="AC35:AC43">IF(AQ35="1",BI35,0)</f>
        <v>0</v>
      </c>
      <c r="AD35" s="33">
        <f aca="true" t="shared" si="6" ref="AD35:AD43">IF(AQ35="7",BH35,0)</f>
        <v>0</v>
      </c>
      <c r="AE35" s="33">
        <f aca="true" t="shared" si="7" ref="AE35:AE43">IF(AQ35="7",BI35,0)</f>
        <v>0</v>
      </c>
      <c r="AF35" s="33">
        <f aca="true" t="shared" si="8" ref="AF35:AF43">IF(AQ35="2",BH35,0)</f>
        <v>0</v>
      </c>
      <c r="AG35" s="33">
        <f aca="true" t="shared" si="9" ref="AG35:AG43">IF(AQ35="2",BI35,0)</f>
        <v>0</v>
      </c>
      <c r="AH35" s="33">
        <f aca="true" t="shared" si="10" ref="AH35:AH43">IF(AQ35="0",BJ35,0)</f>
        <v>0</v>
      </c>
      <c r="AI35" s="28"/>
      <c r="AJ35" s="16">
        <f aca="true" t="shared" si="11" ref="AJ35:AJ43">IF(AN35=0,K35,0)</f>
        <v>0</v>
      </c>
      <c r="AK35" s="16">
        <f aca="true" t="shared" si="12" ref="AK35:AK43">IF(AN35=15,K35,0)</f>
        <v>0</v>
      </c>
      <c r="AL35" s="16">
        <f aca="true" t="shared" si="13" ref="AL35:AL43">IF(AN35=21,K35,0)</f>
        <v>0</v>
      </c>
      <c r="AN35" s="33">
        <v>21</v>
      </c>
      <c r="AO35" s="33">
        <f>H35*0.919032383490355</f>
        <v>0</v>
      </c>
      <c r="AP35" s="33">
        <f>H35*(1-0.919032383490355)</f>
        <v>0</v>
      </c>
      <c r="AQ35" s="27" t="s">
        <v>7</v>
      </c>
      <c r="AV35" s="33">
        <f aca="true" t="shared" si="14" ref="AV35:AV43">AW35+AX35</f>
        <v>0</v>
      </c>
      <c r="AW35" s="33">
        <f aca="true" t="shared" si="15" ref="AW35:AW43">G35*AO35</f>
        <v>0</v>
      </c>
      <c r="AX35" s="33">
        <f aca="true" t="shared" si="16" ref="AX35:AX43">G35*AP35</f>
        <v>0</v>
      </c>
      <c r="AY35" s="34" t="s">
        <v>940</v>
      </c>
      <c r="AZ35" s="34" t="s">
        <v>994</v>
      </c>
      <c r="BA35" s="28" t="s">
        <v>1007</v>
      </c>
      <c r="BC35" s="33">
        <f aca="true" t="shared" si="17" ref="BC35:BC43">AW35+AX35</f>
        <v>0</v>
      </c>
      <c r="BD35" s="33">
        <f aca="true" t="shared" si="18" ref="BD35:BD43">H35/(100-BE35)*100</f>
        <v>0</v>
      </c>
      <c r="BE35" s="33">
        <v>0</v>
      </c>
      <c r="BF35" s="33">
        <f>39</f>
        <v>39</v>
      </c>
      <c r="BH35" s="16">
        <f aca="true" t="shared" si="19" ref="BH35:BH43">G35*AO35</f>
        <v>0</v>
      </c>
      <c r="BI35" s="16">
        <f aca="true" t="shared" si="20" ref="BI35:BI43">G35*AP35</f>
        <v>0</v>
      </c>
      <c r="BJ35" s="16">
        <f aca="true" t="shared" si="21" ref="BJ35:BJ43">G35*H35</f>
        <v>0</v>
      </c>
    </row>
    <row r="36" spans="1:62" ht="12.75">
      <c r="A36" s="4" t="s">
        <v>26</v>
      </c>
      <c r="B36" s="4" t="s">
        <v>296</v>
      </c>
      <c r="C36" s="107" t="s">
        <v>604</v>
      </c>
      <c r="D36" s="108"/>
      <c r="E36" s="108"/>
      <c r="F36" s="4" t="s">
        <v>895</v>
      </c>
      <c r="G36" s="16">
        <v>9</v>
      </c>
      <c r="H36" s="16">
        <v>0</v>
      </c>
      <c r="I36" s="16">
        <f t="shared" si="0"/>
        <v>0</v>
      </c>
      <c r="J36" s="16">
        <f t="shared" si="1"/>
        <v>0</v>
      </c>
      <c r="K36" s="16">
        <f t="shared" si="2"/>
        <v>0</v>
      </c>
      <c r="L36" s="27" t="s">
        <v>922</v>
      </c>
      <c r="Z36" s="33">
        <f t="shared" si="3"/>
        <v>0</v>
      </c>
      <c r="AB36" s="33">
        <f t="shared" si="4"/>
        <v>0</v>
      </c>
      <c r="AC36" s="33">
        <f t="shared" si="5"/>
        <v>0</v>
      </c>
      <c r="AD36" s="33">
        <f t="shared" si="6"/>
        <v>0</v>
      </c>
      <c r="AE36" s="33">
        <f t="shared" si="7"/>
        <v>0</v>
      </c>
      <c r="AF36" s="33">
        <f t="shared" si="8"/>
        <v>0</v>
      </c>
      <c r="AG36" s="33">
        <f t="shared" si="9"/>
        <v>0</v>
      </c>
      <c r="AH36" s="33">
        <f t="shared" si="10"/>
        <v>0</v>
      </c>
      <c r="AI36" s="28"/>
      <c r="AJ36" s="16">
        <f t="shared" si="11"/>
        <v>0</v>
      </c>
      <c r="AK36" s="16">
        <f t="shared" si="12"/>
        <v>0</v>
      </c>
      <c r="AL36" s="16">
        <f t="shared" si="13"/>
        <v>0</v>
      </c>
      <c r="AN36" s="33">
        <v>21</v>
      </c>
      <c r="AO36" s="33">
        <f>H36*0.650069752694991</f>
        <v>0</v>
      </c>
      <c r="AP36" s="33">
        <f>H36*(1-0.650069752694991)</f>
        <v>0</v>
      </c>
      <c r="AQ36" s="27" t="s">
        <v>7</v>
      </c>
      <c r="AV36" s="33">
        <f t="shared" si="14"/>
        <v>0</v>
      </c>
      <c r="AW36" s="33">
        <f t="shared" si="15"/>
        <v>0</v>
      </c>
      <c r="AX36" s="33">
        <f t="shared" si="16"/>
        <v>0</v>
      </c>
      <c r="AY36" s="34" t="s">
        <v>940</v>
      </c>
      <c r="AZ36" s="34" t="s">
        <v>994</v>
      </c>
      <c r="BA36" s="28" t="s">
        <v>1007</v>
      </c>
      <c r="BC36" s="33">
        <f t="shared" si="17"/>
        <v>0</v>
      </c>
      <c r="BD36" s="33">
        <f t="shared" si="18"/>
        <v>0</v>
      </c>
      <c r="BE36" s="33">
        <v>0</v>
      </c>
      <c r="BF36" s="33">
        <f>40</f>
        <v>40</v>
      </c>
      <c r="BH36" s="16">
        <f t="shared" si="19"/>
        <v>0</v>
      </c>
      <c r="BI36" s="16">
        <f t="shared" si="20"/>
        <v>0</v>
      </c>
      <c r="BJ36" s="16">
        <f t="shared" si="21"/>
        <v>0</v>
      </c>
    </row>
    <row r="37" spans="1:62" ht="12.75">
      <c r="A37" s="4" t="s">
        <v>27</v>
      </c>
      <c r="B37" s="4" t="s">
        <v>297</v>
      </c>
      <c r="C37" s="107" t="s">
        <v>605</v>
      </c>
      <c r="D37" s="108"/>
      <c r="E37" s="108"/>
      <c r="F37" s="4" t="s">
        <v>898</v>
      </c>
      <c r="G37" s="16">
        <v>0.4</v>
      </c>
      <c r="H37" s="16">
        <v>0</v>
      </c>
      <c r="I37" s="16">
        <f t="shared" si="0"/>
        <v>0</v>
      </c>
      <c r="J37" s="16">
        <f t="shared" si="1"/>
        <v>0</v>
      </c>
      <c r="K37" s="16">
        <f t="shared" si="2"/>
        <v>0</v>
      </c>
      <c r="L37" s="27" t="s">
        <v>922</v>
      </c>
      <c r="Z37" s="33">
        <f t="shared" si="3"/>
        <v>0</v>
      </c>
      <c r="AB37" s="33">
        <f t="shared" si="4"/>
        <v>0</v>
      </c>
      <c r="AC37" s="33">
        <f t="shared" si="5"/>
        <v>0</v>
      </c>
      <c r="AD37" s="33">
        <f t="shared" si="6"/>
        <v>0</v>
      </c>
      <c r="AE37" s="33">
        <f t="shared" si="7"/>
        <v>0</v>
      </c>
      <c r="AF37" s="33">
        <f t="shared" si="8"/>
        <v>0</v>
      </c>
      <c r="AG37" s="33">
        <f t="shared" si="9"/>
        <v>0</v>
      </c>
      <c r="AH37" s="33">
        <f t="shared" si="10"/>
        <v>0</v>
      </c>
      <c r="AI37" s="28"/>
      <c r="AJ37" s="16">
        <f t="shared" si="11"/>
        <v>0</v>
      </c>
      <c r="AK37" s="16">
        <f t="shared" si="12"/>
        <v>0</v>
      </c>
      <c r="AL37" s="16">
        <f t="shared" si="13"/>
        <v>0</v>
      </c>
      <c r="AN37" s="33">
        <v>21</v>
      </c>
      <c r="AO37" s="33">
        <f>H37*0.528636774339282</f>
        <v>0</v>
      </c>
      <c r="AP37" s="33">
        <f>H37*(1-0.528636774339282)</f>
        <v>0</v>
      </c>
      <c r="AQ37" s="27" t="s">
        <v>7</v>
      </c>
      <c r="AV37" s="33">
        <f t="shared" si="14"/>
        <v>0</v>
      </c>
      <c r="AW37" s="33">
        <f t="shared" si="15"/>
        <v>0</v>
      </c>
      <c r="AX37" s="33">
        <f t="shared" si="16"/>
        <v>0</v>
      </c>
      <c r="AY37" s="34" t="s">
        <v>940</v>
      </c>
      <c r="AZ37" s="34" t="s">
        <v>994</v>
      </c>
      <c r="BA37" s="28" t="s">
        <v>1007</v>
      </c>
      <c r="BC37" s="33">
        <f t="shared" si="17"/>
        <v>0</v>
      </c>
      <c r="BD37" s="33">
        <f t="shared" si="18"/>
        <v>0</v>
      </c>
      <c r="BE37" s="33">
        <v>0</v>
      </c>
      <c r="BF37" s="33">
        <f>41</f>
        <v>41</v>
      </c>
      <c r="BH37" s="16">
        <f t="shared" si="19"/>
        <v>0</v>
      </c>
      <c r="BI37" s="16">
        <f t="shared" si="20"/>
        <v>0</v>
      </c>
      <c r="BJ37" s="16">
        <f t="shared" si="21"/>
        <v>0</v>
      </c>
    </row>
    <row r="38" spans="1:62" ht="12.75">
      <c r="A38" s="4" t="s">
        <v>28</v>
      </c>
      <c r="B38" s="4" t="s">
        <v>298</v>
      </c>
      <c r="C38" s="107" t="s">
        <v>606</v>
      </c>
      <c r="D38" s="108"/>
      <c r="E38" s="108"/>
      <c r="F38" s="4" t="s">
        <v>897</v>
      </c>
      <c r="G38" s="16">
        <v>13.37922</v>
      </c>
      <c r="H38" s="16">
        <v>0</v>
      </c>
      <c r="I38" s="16">
        <f t="shared" si="0"/>
        <v>0</v>
      </c>
      <c r="J38" s="16">
        <f t="shared" si="1"/>
        <v>0</v>
      </c>
      <c r="K38" s="16">
        <f t="shared" si="2"/>
        <v>0</v>
      </c>
      <c r="L38" s="27" t="s">
        <v>922</v>
      </c>
      <c r="Z38" s="33">
        <f t="shared" si="3"/>
        <v>0</v>
      </c>
      <c r="AB38" s="33">
        <f t="shared" si="4"/>
        <v>0</v>
      </c>
      <c r="AC38" s="33">
        <f t="shared" si="5"/>
        <v>0</v>
      </c>
      <c r="AD38" s="33">
        <f t="shared" si="6"/>
        <v>0</v>
      </c>
      <c r="AE38" s="33">
        <f t="shared" si="7"/>
        <v>0</v>
      </c>
      <c r="AF38" s="33">
        <f t="shared" si="8"/>
        <v>0</v>
      </c>
      <c r="AG38" s="33">
        <f t="shared" si="9"/>
        <v>0</v>
      </c>
      <c r="AH38" s="33">
        <f t="shared" si="10"/>
        <v>0</v>
      </c>
      <c r="AI38" s="28"/>
      <c r="AJ38" s="16">
        <f t="shared" si="11"/>
        <v>0</v>
      </c>
      <c r="AK38" s="16">
        <f t="shared" si="12"/>
        <v>0</v>
      </c>
      <c r="AL38" s="16">
        <f t="shared" si="13"/>
        <v>0</v>
      </c>
      <c r="AN38" s="33">
        <v>21</v>
      </c>
      <c r="AO38" s="33">
        <f>H38*0.898754819284637</f>
        <v>0</v>
      </c>
      <c r="AP38" s="33">
        <f>H38*(1-0.898754819284637)</f>
        <v>0</v>
      </c>
      <c r="AQ38" s="27" t="s">
        <v>7</v>
      </c>
      <c r="AV38" s="33">
        <f t="shared" si="14"/>
        <v>0</v>
      </c>
      <c r="AW38" s="33">
        <f t="shared" si="15"/>
        <v>0</v>
      </c>
      <c r="AX38" s="33">
        <f t="shared" si="16"/>
        <v>0</v>
      </c>
      <c r="AY38" s="34" t="s">
        <v>940</v>
      </c>
      <c r="AZ38" s="34" t="s">
        <v>994</v>
      </c>
      <c r="BA38" s="28" t="s">
        <v>1007</v>
      </c>
      <c r="BC38" s="33">
        <f t="shared" si="17"/>
        <v>0</v>
      </c>
      <c r="BD38" s="33">
        <f t="shared" si="18"/>
        <v>0</v>
      </c>
      <c r="BE38" s="33">
        <v>0</v>
      </c>
      <c r="BF38" s="33">
        <f>42</f>
        <v>42</v>
      </c>
      <c r="BH38" s="16">
        <f t="shared" si="19"/>
        <v>0</v>
      </c>
      <c r="BI38" s="16">
        <f t="shared" si="20"/>
        <v>0</v>
      </c>
      <c r="BJ38" s="16">
        <f t="shared" si="21"/>
        <v>0</v>
      </c>
    </row>
    <row r="39" spans="1:62" ht="12.75">
      <c r="A39" s="4" t="s">
        <v>29</v>
      </c>
      <c r="B39" s="4" t="s">
        <v>299</v>
      </c>
      <c r="C39" s="107" t="s">
        <v>607</v>
      </c>
      <c r="D39" s="108"/>
      <c r="E39" s="108"/>
      <c r="F39" s="4" t="s">
        <v>895</v>
      </c>
      <c r="G39" s="16">
        <v>3.6</v>
      </c>
      <c r="H39" s="16">
        <v>0</v>
      </c>
      <c r="I39" s="16">
        <f t="shared" si="0"/>
        <v>0</v>
      </c>
      <c r="J39" s="16">
        <f t="shared" si="1"/>
        <v>0</v>
      </c>
      <c r="K39" s="16">
        <f t="shared" si="2"/>
        <v>0</v>
      </c>
      <c r="L39" s="27" t="s">
        <v>922</v>
      </c>
      <c r="Z39" s="33">
        <f t="shared" si="3"/>
        <v>0</v>
      </c>
      <c r="AB39" s="33">
        <f t="shared" si="4"/>
        <v>0</v>
      </c>
      <c r="AC39" s="33">
        <f t="shared" si="5"/>
        <v>0</v>
      </c>
      <c r="AD39" s="33">
        <f t="shared" si="6"/>
        <v>0</v>
      </c>
      <c r="AE39" s="33">
        <f t="shared" si="7"/>
        <v>0</v>
      </c>
      <c r="AF39" s="33">
        <f t="shared" si="8"/>
        <v>0</v>
      </c>
      <c r="AG39" s="33">
        <f t="shared" si="9"/>
        <v>0</v>
      </c>
      <c r="AH39" s="33">
        <f t="shared" si="10"/>
        <v>0</v>
      </c>
      <c r="AI39" s="28"/>
      <c r="AJ39" s="16">
        <f t="shared" si="11"/>
        <v>0</v>
      </c>
      <c r="AK39" s="16">
        <f t="shared" si="12"/>
        <v>0</v>
      </c>
      <c r="AL39" s="16">
        <f t="shared" si="13"/>
        <v>0</v>
      </c>
      <c r="AN39" s="33">
        <v>21</v>
      </c>
      <c r="AO39" s="33">
        <f>H39*0.600797773654916</f>
        <v>0</v>
      </c>
      <c r="AP39" s="33">
        <f>H39*(1-0.600797773654916)</f>
        <v>0</v>
      </c>
      <c r="AQ39" s="27" t="s">
        <v>7</v>
      </c>
      <c r="AV39" s="33">
        <f t="shared" si="14"/>
        <v>0</v>
      </c>
      <c r="AW39" s="33">
        <f t="shared" si="15"/>
        <v>0</v>
      </c>
      <c r="AX39" s="33">
        <f t="shared" si="16"/>
        <v>0</v>
      </c>
      <c r="AY39" s="34" t="s">
        <v>940</v>
      </c>
      <c r="AZ39" s="34" t="s">
        <v>994</v>
      </c>
      <c r="BA39" s="28" t="s">
        <v>1007</v>
      </c>
      <c r="BC39" s="33">
        <f t="shared" si="17"/>
        <v>0</v>
      </c>
      <c r="BD39" s="33">
        <f t="shared" si="18"/>
        <v>0</v>
      </c>
      <c r="BE39" s="33">
        <v>0</v>
      </c>
      <c r="BF39" s="33">
        <f>43</f>
        <v>43</v>
      </c>
      <c r="BH39" s="16">
        <f t="shared" si="19"/>
        <v>0</v>
      </c>
      <c r="BI39" s="16">
        <f t="shared" si="20"/>
        <v>0</v>
      </c>
      <c r="BJ39" s="16">
        <f t="shared" si="21"/>
        <v>0</v>
      </c>
    </row>
    <row r="40" spans="1:62" ht="12.75">
      <c r="A40" s="4" t="s">
        <v>30</v>
      </c>
      <c r="B40" s="4" t="s">
        <v>300</v>
      </c>
      <c r="C40" s="107" t="s">
        <v>608</v>
      </c>
      <c r="D40" s="108"/>
      <c r="E40" s="108"/>
      <c r="F40" s="4" t="s">
        <v>898</v>
      </c>
      <c r="G40" s="16">
        <v>0.71</v>
      </c>
      <c r="H40" s="16">
        <v>0</v>
      </c>
      <c r="I40" s="16">
        <f t="shared" si="0"/>
        <v>0</v>
      </c>
      <c r="J40" s="16">
        <f t="shared" si="1"/>
        <v>0</v>
      </c>
      <c r="K40" s="16">
        <f t="shared" si="2"/>
        <v>0</v>
      </c>
      <c r="L40" s="27" t="s">
        <v>922</v>
      </c>
      <c r="Z40" s="33">
        <f t="shared" si="3"/>
        <v>0</v>
      </c>
      <c r="AB40" s="33">
        <f t="shared" si="4"/>
        <v>0</v>
      </c>
      <c r="AC40" s="33">
        <f t="shared" si="5"/>
        <v>0</v>
      </c>
      <c r="AD40" s="33">
        <f t="shared" si="6"/>
        <v>0</v>
      </c>
      <c r="AE40" s="33">
        <f t="shared" si="7"/>
        <v>0</v>
      </c>
      <c r="AF40" s="33">
        <f t="shared" si="8"/>
        <v>0</v>
      </c>
      <c r="AG40" s="33">
        <f t="shared" si="9"/>
        <v>0</v>
      </c>
      <c r="AH40" s="33">
        <f t="shared" si="10"/>
        <v>0</v>
      </c>
      <c r="AI40" s="28"/>
      <c r="AJ40" s="16">
        <f t="shared" si="11"/>
        <v>0</v>
      </c>
      <c r="AK40" s="16">
        <f t="shared" si="12"/>
        <v>0</v>
      </c>
      <c r="AL40" s="16">
        <f t="shared" si="13"/>
        <v>0</v>
      </c>
      <c r="AN40" s="33">
        <v>21</v>
      </c>
      <c r="AO40" s="33">
        <f>H40*0.801596413793103</f>
        <v>0</v>
      </c>
      <c r="AP40" s="33">
        <f>H40*(1-0.801596413793103)</f>
        <v>0</v>
      </c>
      <c r="AQ40" s="27" t="s">
        <v>7</v>
      </c>
      <c r="AV40" s="33">
        <f t="shared" si="14"/>
        <v>0</v>
      </c>
      <c r="AW40" s="33">
        <f t="shared" si="15"/>
        <v>0</v>
      </c>
      <c r="AX40" s="33">
        <f t="shared" si="16"/>
        <v>0</v>
      </c>
      <c r="AY40" s="34" t="s">
        <v>940</v>
      </c>
      <c r="AZ40" s="34" t="s">
        <v>994</v>
      </c>
      <c r="BA40" s="28" t="s">
        <v>1007</v>
      </c>
      <c r="BC40" s="33">
        <f t="shared" si="17"/>
        <v>0</v>
      </c>
      <c r="BD40" s="33">
        <f t="shared" si="18"/>
        <v>0</v>
      </c>
      <c r="BE40" s="33">
        <v>0</v>
      </c>
      <c r="BF40" s="33">
        <f>44</f>
        <v>44</v>
      </c>
      <c r="BH40" s="16">
        <f t="shared" si="19"/>
        <v>0</v>
      </c>
      <c r="BI40" s="16">
        <f t="shared" si="20"/>
        <v>0</v>
      </c>
      <c r="BJ40" s="16">
        <f t="shared" si="21"/>
        <v>0</v>
      </c>
    </row>
    <row r="41" spans="1:62" ht="12.75">
      <c r="A41" s="4" t="s">
        <v>31</v>
      </c>
      <c r="B41" s="4" t="s">
        <v>301</v>
      </c>
      <c r="C41" s="107" t="s">
        <v>609</v>
      </c>
      <c r="D41" s="108"/>
      <c r="E41" s="108"/>
      <c r="F41" s="4" t="s">
        <v>897</v>
      </c>
      <c r="G41" s="16">
        <v>0.54</v>
      </c>
      <c r="H41" s="16">
        <v>0</v>
      </c>
      <c r="I41" s="16">
        <f t="shared" si="0"/>
        <v>0</v>
      </c>
      <c r="J41" s="16">
        <f t="shared" si="1"/>
        <v>0</v>
      </c>
      <c r="K41" s="16">
        <f t="shared" si="2"/>
        <v>0</v>
      </c>
      <c r="L41" s="27" t="s">
        <v>922</v>
      </c>
      <c r="Z41" s="33">
        <f t="shared" si="3"/>
        <v>0</v>
      </c>
      <c r="AB41" s="33">
        <f t="shared" si="4"/>
        <v>0</v>
      </c>
      <c r="AC41" s="33">
        <f t="shared" si="5"/>
        <v>0</v>
      </c>
      <c r="AD41" s="33">
        <f t="shared" si="6"/>
        <v>0</v>
      </c>
      <c r="AE41" s="33">
        <f t="shared" si="7"/>
        <v>0</v>
      </c>
      <c r="AF41" s="33">
        <f t="shared" si="8"/>
        <v>0</v>
      </c>
      <c r="AG41" s="33">
        <f t="shared" si="9"/>
        <v>0</v>
      </c>
      <c r="AH41" s="33">
        <f t="shared" si="10"/>
        <v>0</v>
      </c>
      <c r="AI41" s="28"/>
      <c r="AJ41" s="16">
        <f t="shared" si="11"/>
        <v>0</v>
      </c>
      <c r="AK41" s="16">
        <f t="shared" si="12"/>
        <v>0</v>
      </c>
      <c r="AL41" s="16">
        <f t="shared" si="13"/>
        <v>0</v>
      </c>
      <c r="AN41" s="33">
        <v>21</v>
      </c>
      <c r="AO41" s="33">
        <f>H41*0.646586486486486</f>
        <v>0</v>
      </c>
      <c r="AP41" s="33">
        <f>H41*(1-0.646586486486486)</f>
        <v>0</v>
      </c>
      <c r="AQ41" s="27" t="s">
        <v>7</v>
      </c>
      <c r="AV41" s="33">
        <f t="shared" si="14"/>
        <v>0</v>
      </c>
      <c r="AW41" s="33">
        <f t="shared" si="15"/>
        <v>0</v>
      </c>
      <c r="AX41" s="33">
        <f t="shared" si="16"/>
        <v>0</v>
      </c>
      <c r="AY41" s="34" t="s">
        <v>940</v>
      </c>
      <c r="AZ41" s="34" t="s">
        <v>994</v>
      </c>
      <c r="BA41" s="28" t="s">
        <v>1007</v>
      </c>
      <c r="BC41" s="33">
        <f t="shared" si="17"/>
        <v>0</v>
      </c>
      <c r="BD41" s="33">
        <f t="shared" si="18"/>
        <v>0</v>
      </c>
      <c r="BE41" s="33">
        <v>0</v>
      </c>
      <c r="BF41" s="33">
        <f>45</f>
        <v>45</v>
      </c>
      <c r="BH41" s="16">
        <f t="shared" si="19"/>
        <v>0</v>
      </c>
      <c r="BI41" s="16">
        <f t="shared" si="20"/>
        <v>0</v>
      </c>
      <c r="BJ41" s="16">
        <f t="shared" si="21"/>
        <v>0</v>
      </c>
    </row>
    <row r="42" spans="1:62" ht="12.75">
      <c r="A42" s="4" t="s">
        <v>32</v>
      </c>
      <c r="B42" s="4" t="s">
        <v>302</v>
      </c>
      <c r="C42" s="107" t="s">
        <v>610</v>
      </c>
      <c r="D42" s="108"/>
      <c r="E42" s="108"/>
      <c r="F42" s="4" t="s">
        <v>895</v>
      </c>
      <c r="G42" s="16">
        <v>82.93547</v>
      </c>
      <c r="H42" s="16">
        <v>0</v>
      </c>
      <c r="I42" s="16">
        <f t="shared" si="0"/>
        <v>0</v>
      </c>
      <c r="J42" s="16">
        <f t="shared" si="1"/>
        <v>0</v>
      </c>
      <c r="K42" s="16">
        <f t="shared" si="2"/>
        <v>0</v>
      </c>
      <c r="L42" s="27" t="s">
        <v>922</v>
      </c>
      <c r="Z42" s="33">
        <f t="shared" si="3"/>
        <v>0</v>
      </c>
      <c r="AB42" s="33">
        <f t="shared" si="4"/>
        <v>0</v>
      </c>
      <c r="AC42" s="33">
        <f t="shared" si="5"/>
        <v>0</v>
      </c>
      <c r="AD42" s="33">
        <f t="shared" si="6"/>
        <v>0</v>
      </c>
      <c r="AE42" s="33">
        <f t="shared" si="7"/>
        <v>0</v>
      </c>
      <c r="AF42" s="33">
        <f t="shared" si="8"/>
        <v>0</v>
      </c>
      <c r="AG42" s="33">
        <f t="shared" si="9"/>
        <v>0</v>
      </c>
      <c r="AH42" s="33">
        <f t="shared" si="10"/>
        <v>0</v>
      </c>
      <c r="AI42" s="28"/>
      <c r="AJ42" s="16">
        <f t="shared" si="11"/>
        <v>0</v>
      </c>
      <c r="AK42" s="16">
        <f t="shared" si="12"/>
        <v>0</v>
      </c>
      <c r="AL42" s="16">
        <f t="shared" si="13"/>
        <v>0</v>
      </c>
      <c r="AN42" s="33">
        <v>21</v>
      </c>
      <c r="AO42" s="33">
        <f>H42*0.68281533014537</f>
        <v>0</v>
      </c>
      <c r="AP42" s="33">
        <f>H42*(1-0.68281533014537)</f>
        <v>0</v>
      </c>
      <c r="AQ42" s="27" t="s">
        <v>7</v>
      </c>
      <c r="AV42" s="33">
        <f t="shared" si="14"/>
        <v>0</v>
      </c>
      <c r="AW42" s="33">
        <f t="shared" si="15"/>
        <v>0</v>
      </c>
      <c r="AX42" s="33">
        <f t="shared" si="16"/>
        <v>0</v>
      </c>
      <c r="AY42" s="34" t="s">
        <v>940</v>
      </c>
      <c r="AZ42" s="34" t="s">
        <v>994</v>
      </c>
      <c r="BA42" s="28" t="s">
        <v>1007</v>
      </c>
      <c r="BC42" s="33">
        <f t="shared" si="17"/>
        <v>0</v>
      </c>
      <c r="BD42" s="33">
        <f t="shared" si="18"/>
        <v>0</v>
      </c>
      <c r="BE42" s="33">
        <v>0</v>
      </c>
      <c r="BF42" s="33">
        <f>46</f>
        <v>46</v>
      </c>
      <c r="BH42" s="16">
        <f t="shared" si="19"/>
        <v>0</v>
      </c>
      <c r="BI42" s="16">
        <f t="shared" si="20"/>
        <v>0</v>
      </c>
      <c r="BJ42" s="16">
        <f t="shared" si="21"/>
        <v>0</v>
      </c>
    </row>
    <row r="43" spans="1:62" ht="12.75">
      <c r="A43" s="4" t="s">
        <v>33</v>
      </c>
      <c r="B43" s="4" t="s">
        <v>303</v>
      </c>
      <c r="C43" s="107" t="s">
        <v>611</v>
      </c>
      <c r="D43" s="108"/>
      <c r="E43" s="108"/>
      <c r="F43" s="4" t="s">
        <v>895</v>
      </c>
      <c r="G43" s="16">
        <v>3.6</v>
      </c>
      <c r="H43" s="16">
        <v>0</v>
      </c>
      <c r="I43" s="16">
        <f t="shared" si="0"/>
        <v>0</v>
      </c>
      <c r="J43" s="16">
        <f t="shared" si="1"/>
        <v>0</v>
      </c>
      <c r="K43" s="16">
        <f t="shared" si="2"/>
        <v>0</v>
      </c>
      <c r="L43" s="27" t="s">
        <v>922</v>
      </c>
      <c r="Z43" s="33">
        <f t="shared" si="3"/>
        <v>0</v>
      </c>
      <c r="AB43" s="33">
        <f t="shared" si="4"/>
        <v>0</v>
      </c>
      <c r="AC43" s="33">
        <f t="shared" si="5"/>
        <v>0</v>
      </c>
      <c r="AD43" s="33">
        <f t="shared" si="6"/>
        <v>0</v>
      </c>
      <c r="AE43" s="33">
        <f t="shared" si="7"/>
        <v>0</v>
      </c>
      <c r="AF43" s="33">
        <f t="shared" si="8"/>
        <v>0</v>
      </c>
      <c r="AG43" s="33">
        <f t="shared" si="9"/>
        <v>0</v>
      </c>
      <c r="AH43" s="33">
        <f t="shared" si="10"/>
        <v>0</v>
      </c>
      <c r="AI43" s="28"/>
      <c r="AJ43" s="16">
        <f t="shared" si="11"/>
        <v>0</v>
      </c>
      <c r="AK43" s="16">
        <f t="shared" si="12"/>
        <v>0</v>
      </c>
      <c r="AL43" s="16">
        <f t="shared" si="13"/>
        <v>0</v>
      </c>
      <c r="AN43" s="33">
        <v>21</v>
      </c>
      <c r="AO43" s="33">
        <f>H43*0</f>
        <v>0</v>
      </c>
      <c r="AP43" s="33">
        <f>H43*(1-0)</f>
        <v>0</v>
      </c>
      <c r="AQ43" s="27" t="s">
        <v>7</v>
      </c>
      <c r="AV43" s="33">
        <f t="shared" si="14"/>
        <v>0</v>
      </c>
      <c r="AW43" s="33">
        <f t="shared" si="15"/>
        <v>0</v>
      </c>
      <c r="AX43" s="33">
        <f t="shared" si="16"/>
        <v>0</v>
      </c>
      <c r="AY43" s="34" t="s">
        <v>940</v>
      </c>
      <c r="AZ43" s="34" t="s">
        <v>994</v>
      </c>
      <c r="BA43" s="28" t="s">
        <v>1007</v>
      </c>
      <c r="BC43" s="33">
        <f t="shared" si="17"/>
        <v>0</v>
      </c>
      <c r="BD43" s="33">
        <f t="shared" si="18"/>
        <v>0</v>
      </c>
      <c r="BE43" s="33">
        <v>0</v>
      </c>
      <c r="BF43" s="33">
        <f>47</f>
        <v>47</v>
      </c>
      <c r="BH43" s="16">
        <f t="shared" si="19"/>
        <v>0</v>
      </c>
      <c r="BI43" s="16">
        <f t="shared" si="20"/>
        <v>0</v>
      </c>
      <c r="BJ43" s="16">
        <f t="shared" si="21"/>
        <v>0</v>
      </c>
    </row>
    <row r="44" spans="1:47" ht="12.75">
      <c r="A44" s="5"/>
      <c r="B44" s="13" t="s">
        <v>35</v>
      </c>
      <c r="C44" s="109" t="s">
        <v>612</v>
      </c>
      <c r="D44" s="110"/>
      <c r="E44" s="110"/>
      <c r="F44" s="5" t="s">
        <v>6</v>
      </c>
      <c r="G44" s="5" t="s">
        <v>6</v>
      </c>
      <c r="H44" s="5" t="s">
        <v>6</v>
      </c>
      <c r="I44" s="36">
        <f>SUM(I45:I49)</f>
        <v>0</v>
      </c>
      <c r="J44" s="36">
        <f>SUM(J45:J49)</f>
        <v>0</v>
      </c>
      <c r="K44" s="36">
        <f>SUM(K45:K49)</f>
        <v>0</v>
      </c>
      <c r="L44" s="28"/>
      <c r="AI44" s="28"/>
      <c r="AS44" s="36">
        <f>SUM(AJ45:AJ49)</f>
        <v>0</v>
      </c>
      <c r="AT44" s="36">
        <f>SUM(AK45:AK49)</f>
        <v>0</v>
      </c>
      <c r="AU44" s="36">
        <f>SUM(AL45:AL49)</f>
        <v>0</v>
      </c>
    </row>
    <row r="45" spans="1:62" ht="12.75">
      <c r="A45" s="4" t="s">
        <v>34</v>
      </c>
      <c r="B45" s="4" t="s">
        <v>304</v>
      </c>
      <c r="C45" s="107" t="s">
        <v>613</v>
      </c>
      <c r="D45" s="108"/>
      <c r="E45" s="108"/>
      <c r="F45" s="4" t="s">
        <v>895</v>
      </c>
      <c r="G45" s="16">
        <v>3.27</v>
      </c>
      <c r="H45" s="16">
        <v>0</v>
      </c>
      <c r="I45" s="16">
        <f>G45*AO45</f>
        <v>0</v>
      </c>
      <c r="J45" s="16">
        <f>G45*AP45</f>
        <v>0</v>
      </c>
      <c r="K45" s="16">
        <f>G45*H45</f>
        <v>0</v>
      </c>
      <c r="L45" s="27" t="s">
        <v>923</v>
      </c>
      <c r="Z45" s="33">
        <f>IF(AQ45="5",BJ45,0)</f>
        <v>0</v>
      </c>
      <c r="AB45" s="33">
        <f>IF(AQ45="1",BH45,0)</f>
        <v>0</v>
      </c>
      <c r="AC45" s="33">
        <f>IF(AQ45="1",BI45,0)</f>
        <v>0</v>
      </c>
      <c r="AD45" s="33">
        <f>IF(AQ45="7",BH45,0)</f>
        <v>0</v>
      </c>
      <c r="AE45" s="33">
        <f>IF(AQ45="7",BI45,0)</f>
        <v>0</v>
      </c>
      <c r="AF45" s="33">
        <f>IF(AQ45="2",BH45,0)</f>
        <v>0</v>
      </c>
      <c r="AG45" s="33">
        <f>IF(AQ45="2",BI45,0)</f>
        <v>0</v>
      </c>
      <c r="AH45" s="33">
        <f>IF(AQ45="0",BJ45,0)</f>
        <v>0</v>
      </c>
      <c r="AI45" s="28"/>
      <c r="AJ45" s="16">
        <f>IF(AN45=0,K45,0)</f>
        <v>0</v>
      </c>
      <c r="AK45" s="16">
        <f>IF(AN45=15,K45,0)</f>
        <v>0</v>
      </c>
      <c r="AL45" s="16">
        <f>IF(AN45=21,K45,0)</f>
        <v>0</v>
      </c>
      <c r="AN45" s="33">
        <v>21</v>
      </c>
      <c r="AO45" s="33">
        <f>H45*0.733693086003373</f>
        <v>0</v>
      </c>
      <c r="AP45" s="33">
        <f>H45*(1-0.733693086003373)</f>
        <v>0</v>
      </c>
      <c r="AQ45" s="27" t="s">
        <v>7</v>
      </c>
      <c r="AV45" s="33">
        <f>AW45+AX45</f>
        <v>0</v>
      </c>
      <c r="AW45" s="33">
        <f>G45*AO45</f>
        <v>0</v>
      </c>
      <c r="AX45" s="33">
        <f>G45*AP45</f>
        <v>0</v>
      </c>
      <c r="AY45" s="34" t="s">
        <v>941</v>
      </c>
      <c r="AZ45" s="34" t="s">
        <v>995</v>
      </c>
      <c r="BA45" s="28" t="s">
        <v>1007</v>
      </c>
      <c r="BC45" s="33">
        <f>AW45+AX45</f>
        <v>0</v>
      </c>
      <c r="BD45" s="33">
        <f>H45/(100-BE45)*100</f>
        <v>0</v>
      </c>
      <c r="BE45" s="33">
        <v>0</v>
      </c>
      <c r="BF45" s="33">
        <f>49</f>
        <v>49</v>
      </c>
      <c r="BH45" s="16">
        <f>G45*AO45</f>
        <v>0</v>
      </c>
      <c r="BI45" s="16">
        <f>G45*AP45</f>
        <v>0</v>
      </c>
      <c r="BJ45" s="16">
        <f>G45*H45</f>
        <v>0</v>
      </c>
    </row>
    <row r="46" spans="1:62" ht="12.75">
      <c r="A46" s="4" t="s">
        <v>35</v>
      </c>
      <c r="B46" s="4" t="s">
        <v>305</v>
      </c>
      <c r="C46" s="107" t="s">
        <v>614</v>
      </c>
      <c r="D46" s="108"/>
      <c r="E46" s="108"/>
      <c r="F46" s="4" t="s">
        <v>895</v>
      </c>
      <c r="G46" s="16">
        <v>37.295</v>
      </c>
      <c r="H46" s="16">
        <v>0</v>
      </c>
      <c r="I46" s="16">
        <f>G46*AO46</f>
        <v>0</v>
      </c>
      <c r="J46" s="16">
        <f>G46*AP46</f>
        <v>0</v>
      </c>
      <c r="K46" s="16">
        <f>G46*H46</f>
        <v>0</v>
      </c>
      <c r="L46" s="27" t="s">
        <v>922</v>
      </c>
      <c r="Z46" s="33">
        <f>IF(AQ46="5",BJ46,0)</f>
        <v>0</v>
      </c>
      <c r="AB46" s="33">
        <f>IF(AQ46="1",BH46,0)</f>
        <v>0</v>
      </c>
      <c r="AC46" s="33">
        <f>IF(AQ46="1",BI46,0)</f>
        <v>0</v>
      </c>
      <c r="AD46" s="33">
        <f>IF(AQ46="7",BH46,0)</f>
        <v>0</v>
      </c>
      <c r="AE46" s="33">
        <f>IF(AQ46="7",BI46,0)</f>
        <v>0</v>
      </c>
      <c r="AF46" s="33">
        <f>IF(AQ46="2",BH46,0)</f>
        <v>0</v>
      </c>
      <c r="AG46" s="33">
        <f>IF(AQ46="2",BI46,0)</f>
        <v>0</v>
      </c>
      <c r="AH46" s="33">
        <f>IF(AQ46="0",BJ46,0)</f>
        <v>0</v>
      </c>
      <c r="AI46" s="28"/>
      <c r="AJ46" s="16">
        <f>IF(AN46=0,K46,0)</f>
        <v>0</v>
      </c>
      <c r="AK46" s="16">
        <f>IF(AN46=15,K46,0)</f>
        <v>0</v>
      </c>
      <c r="AL46" s="16">
        <f>IF(AN46=21,K46,0)</f>
        <v>0</v>
      </c>
      <c r="AN46" s="33">
        <v>21</v>
      </c>
      <c r="AO46" s="33">
        <f>H46*0.739014814814815</f>
        <v>0</v>
      </c>
      <c r="AP46" s="33">
        <f>H46*(1-0.739014814814815)</f>
        <v>0</v>
      </c>
      <c r="AQ46" s="27" t="s">
        <v>7</v>
      </c>
      <c r="AV46" s="33">
        <f>AW46+AX46</f>
        <v>0</v>
      </c>
      <c r="AW46" s="33">
        <f>G46*AO46</f>
        <v>0</v>
      </c>
      <c r="AX46" s="33">
        <f>G46*AP46</f>
        <v>0</v>
      </c>
      <c r="AY46" s="34" t="s">
        <v>941</v>
      </c>
      <c r="AZ46" s="34" t="s">
        <v>995</v>
      </c>
      <c r="BA46" s="28" t="s">
        <v>1007</v>
      </c>
      <c r="BC46" s="33">
        <f>AW46+AX46</f>
        <v>0</v>
      </c>
      <c r="BD46" s="33">
        <f>H46/(100-BE46)*100</f>
        <v>0</v>
      </c>
      <c r="BE46" s="33">
        <v>0</v>
      </c>
      <c r="BF46" s="33">
        <f>50</f>
        <v>50</v>
      </c>
      <c r="BH46" s="16">
        <f>G46*AO46</f>
        <v>0</v>
      </c>
      <c r="BI46" s="16">
        <f>G46*AP46</f>
        <v>0</v>
      </c>
      <c r="BJ46" s="16">
        <f>G46*H46</f>
        <v>0</v>
      </c>
    </row>
    <row r="47" spans="1:62" ht="12.75">
      <c r="A47" s="4" t="s">
        <v>36</v>
      </c>
      <c r="B47" s="4" t="s">
        <v>306</v>
      </c>
      <c r="C47" s="107" t="s">
        <v>615</v>
      </c>
      <c r="D47" s="108"/>
      <c r="E47" s="108"/>
      <c r="F47" s="4" t="s">
        <v>895</v>
      </c>
      <c r="G47" s="16">
        <v>1.925</v>
      </c>
      <c r="H47" s="16">
        <v>0</v>
      </c>
      <c r="I47" s="16">
        <f>G47*AO47</f>
        <v>0</v>
      </c>
      <c r="J47" s="16">
        <f>G47*AP47</f>
        <v>0</v>
      </c>
      <c r="K47" s="16">
        <f>G47*H47</f>
        <v>0</v>
      </c>
      <c r="L47" s="27" t="s">
        <v>922</v>
      </c>
      <c r="Z47" s="33">
        <f>IF(AQ47="5",BJ47,0)</f>
        <v>0</v>
      </c>
      <c r="AB47" s="33">
        <f>IF(AQ47="1",BH47,0)</f>
        <v>0</v>
      </c>
      <c r="AC47" s="33">
        <f>IF(AQ47="1",BI47,0)</f>
        <v>0</v>
      </c>
      <c r="AD47" s="33">
        <f>IF(AQ47="7",BH47,0)</f>
        <v>0</v>
      </c>
      <c r="AE47" s="33">
        <f>IF(AQ47="7",BI47,0)</f>
        <v>0</v>
      </c>
      <c r="AF47" s="33">
        <f>IF(AQ47="2",BH47,0)</f>
        <v>0</v>
      </c>
      <c r="AG47" s="33">
        <f>IF(AQ47="2",BI47,0)</f>
        <v>0</v>
      </c>
      <c r="AH47" s="33">
        <f>IF(AQ47="0",BJ47,0)</f>
        <v>0</v>
      </c>
      <c r="AI47" s="28"/>
      <c r="AJ47" s="16">
        <f>IF(AN47=0,K47,0)</f>
        <v>0</v>
      </c>
      <c r="AK47" s="16">
        <f>IF(AN47=15,K47,0)</f>
        <v>0</v>
      </c>
      <c r="AL47" s="16">
        <f>IF(AN47=21,K47,0)</f>
        <v>0</v>
      </c>
      <c r="AN47" s="33">
        <v>21</v>
      </c>
      <c r="AO47" s="33">
        <f>H47*0.182691912776945</f>
        <v>0</v>
      </c>
      <c r="AP47" s="33">
        <f>H47*(1-0.182691912776945)</f>
        <v>0</v>
      </c>
      <c r="AQ47" s="27" t="s">
        <v>7</v>
      </c>
      <c r="AV47" s="33">
        <f>AW47+AX47</f>
        <v>0</v>
      </c>
      <c r="AW47" s="33">
        <f>G47*AO47</f>
        <v>0</v>
      </c>
      <c r="AX47" s="33">
        <f>G47*AP47</f>
        <v>0</v>
      </c>
      <c r="AY47" s="34" t="s">
        <v>941</v>
      </c>
      <c r="AZ47" s="34" t="s">
        <v>995</v>
      </c>
      <c r="BA47" s="28" t="s">
        <v>1007</v>
      </c>
      <c r="BC47" s="33">
        <f>AW47+AX47</f>
        <v>0</v>
      </c>
      <c r="BD47" s="33">
        <f>H47/(100-BE47)*100</f>
        <v>0</v>
      </c>
      <c r="BE47" s="33">
        <v>0</v>
      </c>
      <c r="BF47" s="33">
        <f>51</f>
        <v>51</v>
      </c>
      <c r="BH47" s="16">
        <f>G47*AO47</f>
        <v>0</v>
      </c>
      <c r="BI47" s="16">
        <f>G47*AP47</f>
        <v>0</v>
      </c>
      <c r="BJ47" s="16">
        <f>G47*H47</f>
        <v>0</v>
      </c>
    </row>
    <row r="48" spans="1:62" ht="12.75">
      <c r="A48" s="4" t="s">
        <v>37</v>
      </c>
      <c r="B48" s="4" t="s">
        <v>307</v>
      </c>
      <c r="C48" s="107" t="s">
        <v>616</v>
      </c>
      <c r="D48" s="108"/>
      <c r="E48" s="108"/>
      <c r="F48" s="4" t="s">
        <v>895</v>
      </c>
      <c r="G48" s="16">
        <v>1.925</v>
      </c>
      <c r="H48" s="16">
        <v>0</v>
      </c>
      <c r="I48" s="16">
        <f>G48*AO48</f>
        <v>0</v>
      </c>
      <c r="J48" s="16">
        <f>G48*AP48</f>
        <v>0</v>
      </c>
      <c r="K48" s="16">
        <f>G48*H48</f>
        <v>0</v>
      </c>
      <c r="L48" s="27" t="s">
        <v>922</v>
      </c>
      <c r="Z48" s="33">
        <f>IF(AQ48="5",BJ48,0)</f>
        <v>0</v>
      </c>
      <c r="AB48" s="33">
        <f>IF(AQ48="1",BH48,0)</f>
        <v>0</v>
      </c>
      <c r="AC48" s="33">
        <f>IF(AQ48="1",BI48,0)</f>
        <v>0</v>
      </c>
      <c r="AD48" s="33">
        <f>IF(AQ48="7",BH48,0)</f>
        <v>0</v>
      </c>
      <c r="AE48" s="33">
        <f>IF(AQ48="7",BI48,0)</f>
        <v>0</v>
      </c>
      <c r="AF48" s="33">
        <f>IF(AQ48="2",BH48,0)</f>
        <v>0</v>
      </c>
      <c r="AG48" s="33">
        <f>IF(AQ48="2",BI48,0)</f>
        <v>0</v>
      </c>
      <c r="AH48" s="33">
        <f>IF(AQ48="0",BJ48,0)</f>
        <v>0</v>
      </c>
      <c r="AI48" s="28"/>
      <c r="AJ48" s="16">
        <f>IF(AN48=0,K48,0)</f>
        <v>0</v>
      </c>
      <c r="AK48" s="16">
        <f>IF(AN48=15,K48,0)</f>
        <v>0</v>
      </c>
      <c r="AL48" s="16">
        <f>IF(AN48=21,K48,0)</f>
        <v>0</v>
      </c>
      <c r="AN48" s="33">
        <v>21</v>
      </c>
      <c r="AO48" s="33">
        <f>H48*0</f>
        <v>0</v>
      </c>
      <c r="AP48" s="33">
        <f>H48*(1-0)</f>
        <v>0</v>
      </c>
      <c r="AQ48" s="27" t="s">
        <v>7</v>
      </c>
      <c r="AV48" s="33">
        <f>AW48+AX48</f>
        <v>0</v>
      </c>
      <c r="AW48" s="33">
        <f>G48*AO48</f>
        <v>0</v>
      </c>
      <c r="AX48" s="33">
        <f>G48*AP48</f>
        <v>0</v>
      </c>
      <c r="AY48" s="34" t="s">
        <v>941</v>
      </c>
      <c r="AZ48" s="34" t="s">
        <v>995</v>
      </c>
      <c r="BA48" s="28" t="s">
        <v>1007</v>
      </c>
      <c r="BC48" s="33">
        <f>AW48+AX48</f>
        <v>0</v>
      </c>
      <c r="BD48" s="33">
        <f>H48/(100-BE48)*100</f>
        <v>0</v>
      </c>
      <c r="BE48" s="33">
        <v>0</v>
      </c>
      <c r="BF48" s="33">
        <f>52</f>
        <v>52</v>
      </c>
      <c r="BH48" s="16">
        <f>G48*AO48</f>
        <v>0</v>
      </c>
      <c r="BI48" s="16">
        <f>G48*AP48</f>
        <v>0</v>
      </c>
      <c r="BJ48" s="16">
        <f>G48*H48</f>
        <v>0</v>
      </c>
    </row>
    <row r="49" spans="1:62" ht="12.75">
      <c r="A49" s="4" t="s">
        <v>38</v>
      </c>
      <c r="B49" s="4" t="s">
        <v>308</v>
      </c>
      <c r="C49" s="107" t="s">
        <v>617</v>
      </c>
      <c r="D49" s="108"/>
      <c r="E49" s="108"/>
      <c r="F49" s="4" t="s">
        <v>896</v>
      </c>
      <c r="G49" s="16">
        <v>20</v>
      </c>
      <c r="H49" s="16">
        <v>0</v>
      </c>
      <c r="I49" s="16">
        <f>G49*AO49</f>
        <v>0</v>
      </c>
      <c r="J49" s="16">
        <f>G49*AP49</f>
        <v>0</v>
      </c>
      <c r="K49" s="16">
        <f>G49*H49</f>
        <v>0</v>
      </c>
      <c r="L49" s="27" t="s">
        <v>922</v>
      </c>
      <c r="Z49" s="33">
        <f>IF(AQ49="5",BJ49,0)</f>
        <v>0</v>
      </c>
      <c r="AB49" s="33">
        <f>IF(AQ49="1",BH49,0)</f>
        <v>0</v>
      </c>
      <c r="AC49" s="33">
        <f>IF(AQ49="1",BI49,0)</f>
        <v>0</v>
      </c>
      <c r="AD49" s="33">
        <f>IF(AQ49="7",BH49,0)</f>
        <v>0</v>
      </c>
      <c r="AE49" s="33">
        <f>IF(AQ49="7",BI49,0)</f>
        <v>0</v>
      </c>
      <c r="AF49" s="33">
        <f>IF(AQ49="2",BH49,0)</f>
        <v>0</v>
      </c>
      <c r="AG49" s="33">
        <f>IF(AQ49="2",BI49,0)</f>
        <v>0</v>
      </c>
      <c r="AH49" s="33">
        <f>IF(AQ49="0",BJ49,0)</f>
        <v>0</v>
      </c>
      <c r="AI49" s="28"/>
      <c r="AJ49" s="16">
        <f>IF(AN49=0,K49,0)</f>
        <v>0</v>
      </c>
      <c r="AK49" s="16">
        <f>IF(AN49=15,K49,0)</f>
        <v>0</v>
      </c>
      <c r="AL49" s="16">
        <f>IF(AN49=21,K49,0)</f>
        <v>0</v>
      </c>
      <c r="AN49" s="33">
        <v>21</v>
      </c>
      <c r="AO49" s="33">
        <f>H49*0.342407407407407</f>
        <v>0</v>
      </c>
      <c r="AP49" s="33">
        <f>H49*(1-0.342407407407407)</f>
        <v>0</v>
      </c>
      <c r="AQ49" s="27" t="s">
        <v>7</v>
      </c>
      <c r="AV49" s="33">
        <f>AW49+AX49</f>
        <v>0</v>
      </c>
      <c r="AW49" s="33">
        <f>G49*AO49</f>
        <v>0</v>
      </c>
      <c r="AX49" s="33">
        <f>G49*AP49</f>
        <v>0</v>
      </c>
      <c r="AY49" s="34" t="s">
        <v>941</v>
      </c>
      <c r="AZ49" s="34" t="s">
        <v>995</v>
      </c>
      <c r="BA49" s="28" t="s">
        <v>1007</v>
      </c>
      <c r="BC49" s="33">
        <f>AW49+AX49</f>
        <v>0</v>
      </c>
      <c r="BD49" s="33">
        <f>H49/(100-BE49)*100</f>
        <v>0</v>
      </c>
      <c r="BE49" s="33">
        <v>0</v>
      </c>
      <c r="BF49" s="33">
        <f>53</f>
        <v>53</v>
      </c>
      <c r="BH49" s="16">
        <f>G49*AO49</f>
        <v>0</v>
      </c>
      <c r="BI49" s="16">
        <f>G49*AP49</f>
        <v>0</v>
      </c>
      <c r="BJ49" s="16">
        <f>G49*H49</f>
        <v>0</v>
      </c>
    </row>
    <row r="50" spans="1:47" ht="12.75">
      <c r="A50" s="5"/>
      <c r="B50" s="13" t="s">
        <v>38</v>
      </c>
      <c r="C50" s="109" t="s">
        <v>618</v>
      </c>
      <c r="D50" s="110"/>
      <c r="E50" s="110"/>
      <c r="F50" s="5" t="s">
        <v>6</v>
      </c>
      <c r="G50" s="5" t="s">
        <v>6</v>
      </c>
      <c r="H50" s="5" t="s">
        <v>6</v>
      </c>
      <c r="I50" s="36">
        <f>SUM(I51:I53)</f>
        <v>0</v>
      </c>
      <c r="J50" s="36">
        <f>SUM(J51:J53)</f>
        <v>0</v>
      </c>
      <c r="K50" s="36">
        <f>SUM(K51:K53)</f>
        <v>0</v>
      </c>
      <c r="L50" s="28"/>
      <c r="AI50" s="28"/>
      <c r="AS50" s="36">
        <f>SUM(AJ51:AJ53)</f>
        <v>0</v>
      </c>
      <c r="AT50" s="36">
        <f>SUM(AK51:AK53)</f>
        <v>0</v>
      </c>
      <c r="AU50" s="36">
        <f>SUM(AL51:AL53)</f>
        <v>0</v>
      </c>
    </row>
    <row r="51" spans="1:62" ht="12.75">
      <c r="A51" s="4" t="s">
        <v>39</v>
      </c>
      <c r="B51" s="4" t="s">
        <v>309</v>
      </c>
      <c r="C51" s="107" t="s">
        <v>619</v>
      </c>
      <c r="D51" s="108"/>
      <c r="E51" s="108"/>
      <c r="F51" s="4" t="s">
        <v>895</v>
      </c>
      <c r="G51" s="16">
        <v>6.047</v>
      </c>
      <c r="H51" s="16">
        <v>0</v>
      </c>
      <c r="I51" s="16">
        <f>G51*AO51</f>
        <v>0</v>
      </c>
      <c r="J51" s="16">
        <f>G51*AP51</f>
        <v>0</v>
      </c>
      <c r="K51" s="16">
        <f>G51*H51</f>
        <v>0</v>
      </c>
      <c r="L51" s="27" t="s">
        <v>922</v>
      </c>
      <c r="Z51" s="33">
        <f>IF(AQ51="5",BJ51,0)</f>
        <v>0</v>
      </c>
      <c r="AB51" s="33">
        <f>IF(AQ51="1",BH51,0)</f>
        <v>0</v>
      </c>
      <c r="AC51" s="33">
        <f>IF(AQ51="1",BI51,0)</f>
        <v>0</v>
      </c>
      <c r="AD51" s="33">
        <f>IF(AQ51="7",BH51,0)</f>
        <v>0</v>
      </c>
      <c r="AE51" s="33">
        <f>IF(AQ51="7",BI51,0)</f>
        <v>0</v>
      </c>
      <c r="AF51" s="33">
        <f>IF(AQ51="2",BH51,0)</f>
        <v>0</v>
      </c>
      <c r="AG51" s="33">
        <f>IF(AQ51="2",BI51,0)</f>
        <v>0</v>
      </c>
      <c r="AH51" s="33">
        <f>IF(AQ51="0",BJ51,0)</f>
        <v>0</v>
      </c>
      <c r="AI51" s="28"/>
      <c r="AJ51" s="16">
        <f>IF(AN51=0,K51,0)</f>
        <v>0</v>
      </c>
      <c r="AK51" s="16">
        <f>IF(AN51=15,K51,0)</f>
        <v>0</v>
      </c>
      <c r="AL51" s="16">
        <f>IF(AN51=21,K51,0)</f>
        <v>0</v>
      </c>
      <c r="AN51" s="33">
        <v>21</v>
      </c>
      <c r="AO51" s="33">
        <f>H51*0.467871287128713</f>
        <v>0</v>
      </c>
      <c r="AP51" s="33">
        <f>H51*(1-0.467871287128713)</f>
        <v>0</v>
      </c>
      <c r="AQ51" s="27" t="s">
        <v>7</v>
      </c>
      <c r="AV51" s="33">
        <f>AW51+AX51</f>
        <v>0</v>
      </c>
      <c r="AW51" s="33">
        <f>G51*AO51</f>
        <v>0</v>
      </c>
      <c r="AX51" s="33">
        <f>G51*AP51</f>
        <v>0</v>
      </c>
      <c r="AY51" s="34" t="s">
        <v>942</v>
      </c>
      <c r="AZ51" s="34" t="s">
        <v>995</v>
      </c>
      <c r="BA51" s="28" t="s">
        <v>1007</v>
      </c>
      <c r="BC51" s="33">
        <f>AW51+AX51</f>
        <v>0</v>
      </c>
      <c r="BD51" s="33">
        <f>H51/(100-BE51)*100</f>
        <v>0</v>
      </c>
      <c r="BE51" s="33">
        <v>0</v>
      </c>
      <c r="BF51" s="33">
        <f>55</f>
        <v>55</v>
      </c>
      <c r="BH51" s="16">
        <f>G51*AO51</f>
        <v>0</v>
      </c>
      <c r="BI51" s="16">
        <f>G51*AP51</f>
        <v>0</v>
      </c>
      <c r="BJ51" s="16">
        <f>G51*H51</f>
        <v>0</v>
      </c>
    </row>
    <row r="52" spans="1:62" ht="12.75">
      <c r="A52" s="4" t="s">
        <v>40</v>
      </c>
      <c r="B52" s="4" t="s">
        <v>310</v>
      </c>
      <c r="C52" s="107" t="s">
        <v>620</v>
      </c>
      <c r="D52" s="108"/>
      <c r="E52" s="108"/>
      <c r="F52" s="4" t="s">
        <v>895</v>
      </c>
      <c r="G52" s="16">
        <v>12.50125</v>
      </c>
      <c r="H52" s="16">
        <v>0</v>
      </c>
      <c r="I52" s="16">
        <f>G52*AO52</f>
        <v>0</v>
      </c>
      <c r="J52" s="16">
        <f>G52*AP52</f>
        <v>0</v>
      </c>
      <c r="K52" s="16">
        <f>G52*H52</f>
        <v>0</v>
      </c>
      <c r="L52" s="27" t="s">
        <v>922</v>
      </c>
      <c r="Z52" s="33">
        <f>IF(AQ52="5",BJ52,0)</f>
        <v>0</v>
      </c>
      <c r="AB52" s="33">
        <f>IF(AQ52="1",BH52,0)</f>
        <v>0</v>
      </c>
      <c r="AC52" s="33">
        <f>IF(AQ52="1",BI52,0)</f>
        <v>0</v>
      </c>
      <c r="AD52" s="33">
        <f>IF(AQ52="7",BH52,0)</f>
        <v>0</v>
      </c>
      <c r="AE52" s="33">
        <f>IF(AQ52="7",BI52,0)</f>
        <v>0</v>
      </c>
      <c r="AF52" s="33">
        <f>IF(AQ52="2",BH52,0)</f>
        <v>0</v>
      </c>
      <c r="AG52" s="33">
        <f>IF(AQ52="2",BI52,0)</f>
        <v>0</v>
      </c>
      <c r="AH52" s="33">
        <f>IF(AQ52="0",BJ52,0)</f>
        <v>0</v>
      </c>
      <c r="AI52" s="28"/>
      <c r="AJ52" s="16">
        <f>IF(AN52=0,K52,0)</f>
        <v>0</v>
      </c>
      <c r="AK52" s="16">
        <f>IF(AN52=15,K52,0)</f>
        <v>0</v>
      </c>
      <c r="AL52" s="16">
        <f>IF(AN52=21,K52,0)</f>
        <v>0</v>
      </c>
      <c r="AN52" s="33">
        <v>21</v>
      </c>
      <c r="AO52" s="33">
        <f>H52*0.534213190890727</f>
        <v>0</v>
      </c>
      <c r="AP52" s="33">
        <f>H52*(1-0.534213190890727)</f>
        <v>0</v>
      </c>
      <c r="AQ52" s="27" t="s">
        <v>7</v>
      </c>
      <c r="AV52" s="33">
        <f>AW52+AX52</f>
        <v>0</v>
      </c>
      <c r="AW52" s="33">
        <f>G52*AO52</f>
        <v>0</v>
      </c>
      <c r="AX52" s="33">
        <f>G52*AP52</f>
        <v>0</v>
      </c>
      <c r="AY52" s="34" t="s">
        <v>942</v>
      </c>
      <c r="AZ52" s="34" t="s">
        <v>995</v>
      </c>
      <c r="BA52" s="28" t="s">
        <v>1007</v>
      </c>
      <c r="BC52" s="33">
        <f>AW52+AX52</f>
        <v>0</v>
      </c>
      <c r="BD52" s="33">
        <f>H52/(100-BE52)*100</f>
        <v>0</v>
      </c>
      <c r="BE52" s="33">
        <v>0</v>
      </c>
      <c r="BF52" s="33">
        <f>56</f>
        <v>56</v>
      </c>
      <c r="BH52" s="16">
        <f>G52*AO52</f>
        <v>0</v>
      </c>
      <c r="BI52" s="16">
        <f>G52*AP52</f>
        <v>0</v>
      </c>
      <c r="BJ52" s="16">
        <f>G52*H52</f>
        <v>0</v>
      </c>
    </row>
    <row r="53" spans="1:62" ht="12.75">
      <c r="A53" s="4" t="s">
        <v>41</v>
      </c>
      <c r="B53" s="4" t="s">
        <v>311</v>
      </c>
      <c r="C53" s="107" t="s">
        <v>621</v>
      </c>
      <c r="D53" s="108"/>
      <c r="E53" s="108"/>
      <c r="F53" s="4" t="s">
        <v>895</v>
      </c>
      <c r="G53" s="16">
        <v>6.03</v>
      </c>
      <c r="H53" s="16">
        <v>0</v>
      </c>
      <c r="I53" s="16">
        <f>G53*AO53</f>
        <v>0</v>
      </c>
      <c r="J53" s="16">
        <f>G53*AP53</f>
        <v>0</v>
      </c>
      <c r="K53" s="16">
        <f>G53*H53</f>
        <v>0</v>
      </c>
      <c r="L53" s="27" t="s">
        <v>922</v>
      </c>
      <c r="Z53" s="33">
        <f>IF(AQ53="5",BJ53,0)</f>
        <v>0</v>
      </c>
      <c r="AB53" s="33">
        <f>IF(AQ53="1",BH53,0)</f>
        <v>0</v>
      </c>
      <c r="AC53" s="33">
        <f>IF(AQ53="1",BI53,0)</f>
        <v>0</v>
      </c>
      <c r="AD53" s="33">
        <f>IF(AQ53="7",BH53,0)</f>
        <v>0</v>
      </c>
      <c r="AE53" s="33">
        <f>IF(AQ53="7",BI53,0)</f>
        <v>0</v>
      </c>
      <c r="AF53" s="33">
        <f>IF(AQ53="2",BH53,0)</f>
        <v>0</v>
      </c>
      <c r="AG53" s="33">
        <f>IF(AQ53="2",BI53,0)</f>
        <v>0</v>
      </c>
      <c r="AH53" s="33">
        <f>IF(AQ53="0",BJ53,0)</f>
        <v>0</v>
      </c>
      <c r="AI53" s="28"/>
      <c r="AJ53" s="16">
        <f>IF(AN53=0,K53,0)</f>
        <v>0</v>
      </c>
      <c r="AK53" s="16">
        <f>IF(AN53=15,K53,0)</f>
        <v>0</v>
      </c>
      <c r="AL53" s="16">
        <f>IF(AN53=21,K53,0)</f>
        <v>0</v>
      </c>
      <c r="AN53" s="33">
        <v>21</v>
      </c>
      <c r="AO53" s="33">
        <f>H53*0.388807947019868</f>
        <v>0</v>
      </c>
      <c r="AP53" s="33">
        <f>H53*(1-0.388807947019868)</f>
        <v>0</v>
      </c>
      <c r="AQ53" s="27" t="s">
        <v>7</v>
      </c>
      <c r="AV53" s="33">
        <f>AW53+AX53</f>
        <v>0</v>
      </c>
      <c r="AW53" s="33">
        <f>G53*AO53</f>
        <v>0</v>
      </c>
      <c r="AX53" s="33">
        <f>G53*AP53</f>
        <v>0</v>
      </c>
      <c r="AY53" s="34" t="s">
        <v>942</v>
      </c>
      <c r="AZ53" s="34" t="s">
        <v>995</v>
      </c>
      <c r="BA53" s="28" t="s">
        <v>1007</v>
      </c>
      <c r="BC53" s="33">
        <f>AW53+AX53</f>
        <v>0</v>
      </c>
      <c r="BD53" s="33">
        <f>H53/(100-BE53)*100</f>
        <v>0</v>
      </c>
      <c r="BE53" s="33">
        <v>0</v>
      </c>
      <c r="BF53" s="33">
        <f>57</f>
        <v>57</v>
      </c>
      <c r="BH53" s="16">
        <f>G53*AO53</f>
        <v>0</v>
      </c>
      <c r="BI53" s="16">
        <f>G53*AP53</f>
        <v>0</v>
      </c>
      <c r="BJ53" s="16">
        <f>G53*H53</f>
        <v>0</v>
      </c>
    </row>
    <row r="54" spans="1:47" ht="12.75">
      <c r="A54" s="5"/>
      <c r="B54" s="13" t="s">
        <v>45</v>
      </c>
      <c r="C54" s="109" t="s">
        <v>622</v>
      </c>
      <c r="D54" s="110"/>
      <c r="E54" s="110"/>
      <c r="F54" s="5" t="s">
        <v>6</v>
      </c>
      <c r="G54" s="5" t="s">
        <v>6</v>
      </c>
      <c r="H54" s="5" t="s">
        <v>6</v>
      </c>
      <c r="I54" s="36">
        <f>SUM(I55:I58)</f>
        <v>0</v>
      </c>
      <c r="J54" s="36">
        <f>SUM(J55:J58)</f>
        <v>0</v>
      </c>
      <c r="K54" s="36">
        <f>SUM(K55:K58)</f>
        <v>0</v>
      </c>
      <c r="L54" s="28"/>
      <c r="AI54" s="28"/>
      <c r="AS54" s="36">
        <f>SUM(AJ55:AJ58)</f>
        <v>0</v>
      </c>
      <c r="AT54" s="36">
        <f>SUM(AK55:AK58)</f>
        <v>0</v>
      </c>
      <c r="AU54" s="36">
        <f>SUM(AL55:AL58)</f>
        <v>0</v>
      </c>
    </row>
    <row r="55" spans="1:62" ht="12.75">
      <c r="A55" s="4" t="s">
        <v>42</v>
      </c>
      <c r="B55" s="4" t="s">
        <v>312</v>
      </c>
      <c r="C55" s="107" t="s">
        <v>623</v>
      </c>
      <c r="D55" s="108"/>
      <c r="E55" s="108"/>
      <c r="F55" s="4" t="s">
        <v>897</v>
      </c>
      <c r="G55" s="16">
        <v>1.32675</v>
      </c>
      <c r="H55" s="16">
        <v>0</v>
      </c>
      <c r="I55" s="16">
        <f>G55*AO55</f>
        <v>0</v>
      </c>
      <c r="J55" s="16">
        <f>G55*AP55</f>
        <v>0</v>
      </c>
      <c r="K55" s="16">
        <f>G55*H55</f>
        <v>0</v>
      </c>
      <c r="L55" s="27" t="s">
        <v>922</v>
      </c>
      <c r="Z55" s="33">
        <f>IF(AQ55="5",BJ55,0)</f>
        <v>0</v>
      </c>
      <c r="AB55" s="33">
        <f>IF(AQ55="1",BH55,0)</f>
        <v>0</v>
      </c>
      <c r="AC55" s="33">
        <f>IF(AQ55="1",BI55,0)</f>
        <v>0</v>
      </c>
      <c r="AD55" s="33">
        <f>IF(AQ55="7",BH55,0)</f>
        <v>0</v>
      </c>
      <c r="AE55" s="33">
        <f>IF(AQ55="7",BI55,0)</f>
        <v>0</v>
      </c>
      <c r="AF55" s="33">
        <f>IF(AQ55="2",BH55,0)</f>
        <v>0</v>
      </c>
      <c r="AG55" s="33">
        <f>IF(AQ55="2",BI55,0)</f>
        <v>0</v>
      </c>
      <c r="AH55" s="33">
        <f>IF(AQ55="0",BJ55,0)</f>
        <v>0</v>
      </c>
      <c r="AI55" s="28"/>
      <c r="AJ55" s="16">
        <f>IF(AN55=0,K55,0)</f>
        <v>0</v>
      </c>
      <c r="AK55" s="16">
        <f>IF(AN55=15,K55,0)</f>
        <v>0</v>
      </c>
      <c r="AL55" s="16">
        <f>IF(AN55=21,K55,0)</f>
        <v>0</v>
      </c>
      <c r="AN55" s="33">
        <v>21</v>
      </c>
      <c r="AO55" s="33">
        <f>H55*0.802728915662651</f>
        <v>0</v>
      </c>
      <c r="AP55" s="33">
        <f>H55*(1-0.802728915662651)</f>
        <v>0</v>
      </c>
      <c r="AQ55" s="27" t="s">
        <v>7</v>
      </c>
      <c r="AV55" s="33">
        <f>AW55+AX55</f>
        <v>0</v>
      </c>
      <c r="AW55" s="33">
        <f>G55*AO55</f>
        <v>0</v>
      </c>
      <c r="AX55" s="33">
        <f>G55*AP55</f>
        <v>0</v>
      </c>
      <c r="AY55" s="34" t="s">
        <v>943</v>
      </c>
      <c r="AZ55" s="34" t="s">
        <v>996</v>
      </c>
      <c r="BA55" s="28" t="s">
        <v>1007</v>
      </c>
      <c r="BC55" s="33">
        <f>AW55+AX55</f>
        <v>0</v>
      </c>
      <c r="BD55" s="33">
        <f>H55/(100-BE55)*100</f>
        <v>0</v>
      </c>
      <c r="BE55" s="33">
        <v>0</v>
      </c>
      <c r="BF55" s="33">
        <f>59</f>
        <v>59</v>
      </c>
      <c r="BH55" s="16">
        <f>G55*AO55</f>
        <v>0</v>
      </c>
      <c r="BI55" s="16">
        <f>G55*AP55</f>
        <v>0</v>
      </c>
      <c r="BJ55" s="16">
        <f>G55*H55</f>
        <v>0</v>
      </c>
    </row>
    <row r="56" spans="1:62" ht="12.75">
      <c r="A56" s="4" t="s">
        <v>43</v>
      </c>
      <c r="B56" s="4" t="s">
        <v>313</v>
      </c>
      <c r="C56" s="107" t="s">
        <v>624</v>
      </c>
      <c r="D56" s="108"/>
      <c r="E56" s="108"/>
      <c r="F56" s="4" t="s">
        <v>899</v>
      </c>
      <c r="G56" s="16">
        <v>18.31</v>
      </c>
      <c r="H56" s="16">
        <v>0</v>
      </c>
      <c r="I56" s="16">
        <f>G56*AO56</f>
        <v>0</v>
      </c>
      <c r="J56" s="16">
        <f>G56*AP56</f>
        <v>0</v>
      </c>
      <c r="K56" s="16">
        <f>G56*H56</f>
        <v>0</v>
      </c>
      <c r="L56" s="27" t="s">
        <v>922</v>
      </c>
      <c r="Z56" s="33">
        <f>IF(AQ56="5",BJ56,0)</f>
        <v>0</v>
      </c>
      <c r="AB56" s="33">
        <f>IF(AQ56="1",BH56,0)</f>
        <v>0</v>
      </c>
      <c r="AC56" s="33">
        <f>IF(AQ56="1",BI56,0)</f>
        <v>0</v>
      </c>
      <c r="AD56" s="33">
        <f>IF(AQ56="7",BH56,0)</f>
        <v>0</v>
      </c>
      <c r="AE56" s="33">
        <f>IF(AQ56="7",BI56,0)</f>
        <v>0</v>
      </c>
      <c r="AF56" s="33">
        <f>IF(AQ56="2",BH56,0)</f>
        <v>0</v>
      </c>
      <c r="AG56" s="33">
        <f>IF(AQ56="2",BI56,0)</f>
        <v>0</v>
      </c>
      <c r="AH56" s="33">
        <f>IF(AQ56="0",BJ56,0)</f>
        <v>0</v>
      </c>
      <c r="AI56" s="28"/>
      <c r="AJ56" s="16">
        <f>IF(AN56=0,K56,0)</f>
        <v>0</v>
      </c>
      <c r="AK56" s="16">
        <f>IF(AN56=15,K56,0)</f>
        <v>0</v>
      </c>
      <c r="AL56" s="16">
        <f>IF(AN56=21,K56,0)</f>
        <v>0</v>
      </c>
      <c r="AN56" s="33">
        <v>21</v>
      </c>
      <c r="AO56" s="33">
        <f>H56*0.170869012230314</f>
        <v>0</v>
      </c>
      <c r="AP56" s="33">
        <f>H56*(1-0.170869012230314)</f>
        <v>0</v>
      </c>
      <c r="AQ56" s="27" t="s">
        <v>7</v>
      </c>
      <c r="AV56" s="33">
        <f>AW56+AX56</f>
        <v>0</v>
      </c>
      <c r="AW56" s="33">
        <f>G56*AO56</f>
        <v>0</v>
      </c>
      <c r="AX56" s="33">
        <f>G56*AP56</f>
        <v>0</v>
      </c>
      <c r="AY56" s="34" t="s">
        <v>943</v>
      </c>
      <c r="AZ56" s="34" t="s">
        <v>996</v>
      </c>
      <c r="BA56" s="28" t="s">
        <v>1007</v>
      </c>
      <c r="BC56" s="33">
        <f>AW56+AX56</f>
        <v>0</v>
      </c>
      <c r="BD56" s="33">
        <f>H56/(100-BE56)*100</f>
        <v>0</v>
      </c>
      <c r="BE56" s="33">
        <v>0</v>
      </c>
      <c r="BF56" s="33">
        <f>60</f>
        <v>60</v>
      </c>
      <c r="BH56" s="16">
        <f>G56*AO56</f>
        <v>0</v>
      </c>
      <c r="BI56" s="16">
        <f>G56*AP56</f>
        <v>0</v>
      </c>
      <c r="BJ56" s="16">
        <f>G56*H56</f>
        <v>0</v>
      </c>
    </row>
    <row r="57" spans="1:62" ht="12.75">
      <c r="A57" s="4" t="s">
        <v>44</v>
      </c>
      <c r="B57" s="4" t="s">
        <v>314</v>
      </c>
      <c r="C57" s="107" t="s">
        <v>625</v>
      </c>
      <c r="D57" s="108"/>
      <c r="E57" s="108"/>
      <c r="F57" s="4" t="s">
        <v>899</v>
      </c>
      <c r="G57" s="16">
        <v>18.31</v>
      </c>
      <c r="H57" s="16">
        <v>0</v>
      </c>
      <c r="I57" s="16">
        <f>G57*AO57</f>
        <v>0</v>
      </c>
      <c r="J57" s="16">
        <f>G57*AP57</f>
        <v>0</v>
      </c>
      <c r="K57" s="16">
        <f>G57*H57</f>
        <v>0</v>
      </c>
      <c r="L57" s="27" t="s">
        <v>922</v>
      </c>
      <c r="Z57" s="33">
        <f>IF(AQ57="5",BJ57,0)</f>
        <v>0</v>
      </c>
      <c r="AB57" s="33">
        <f>IF(AQ57="1",BH57,0)</f>
        <v>0</v>
      </c>
      <c r="AC57" s="33">
        <f>IF(AQ57="1",BI57,0)</f>
        <v>0</v>
      </c>
      <c r="AD57" s="33">
        <f>IF(AQ57="7",BH57,0)</f>
        <v>0</v>
      </c>
      <c r="AE57" s="33">
        <f>IF(AQ57="7",BI57,0)</f>
        <v>0</v>
      </c>
      <c r="AF57" s="33">
        <f>IF(AQ57="2",BH57,0)</f>
        <v>0</v>
      </c>
      <c r="AG57" s="33">
        <f>IF(AQ57="2",BI57,0)</f>
        <v>0</v>
      </c>
      <c r="AH57" s="33">
        <f>IF(AQ57="0",BJ57,0)</f>
        <v>0</v>
      </c>
      <c r="AI57" s="28"/>
      <c r="AJ57" s="16">
        <f>IF(AN57=0,K57,0)</f>
        <v>0</v>
      </c>
      <c r="AK57" s="16">
        <f>IF(AN57=15,K57,0)</f>
        <v>0</v>
      </c>
      <c r="AL57" s="16">
        <f>IF(AN57=21,K57,0)</f>
        <v>0</v>
      </c>
      <c r="AN57" s="33">
        <v>21</v>
      </c>
      <c r="AO57" s="33">
        <f>H57*0</f>
        <v>0</v>
      </c>
      <c r="AP57" s="33">
        <f>H57*(1-0)</f>
        <v>0</v>
      </c>
      <c r="AQ57" s="27" t="s">
        <v>7</v>
      </c>
      <c r="AV57" s="33">
        <f>AW57+AX57</f>
        <v>0</v>
      </c>
      <c r="AW57" s="33">
        <f>G57*AO57</f>
        <v>0</v>
      </c>
      <c r="AX57" s="33">
        <f>G57*AP57</f>
        <v>0</v>
      </c>
      <c r="AY57" s="34" t="s">
        <v>943</v>
      </c>
      <c r="AZ57" s="34" t="s">
        <v>996</v>
      </c>
      <c r="BA57" s="28" t="s">
        <v>1007</v>
      </c>
      <c r="BC57" s="33">
        <f>AW57+AX57</f>
        <v>0</v>
      </c>
      <c r="BD57" s="33">
        <f>H57/(100-BE57)*100</f>
        <v>0</v>
      </c>
      <c r="BE57" s="33">
        <v>0</v>
      </c>
      <c r="BF57" s="33">
        <f>61</f>
        <v>61</v>
      </c>
      <c r="BH57" s="16">
        <f>G57*AO57</f>
        <v>0</v>
      </c>
      <c r="BI57" s="16">
        <f>G57*AP57</f>
        <v>0</v>
      </c>
      <c r="BJ57" s="16">
        <f>G57*H57</f>
        <v>0</v>
      </c>
    </row>
    <row r="58" spans="1:62" ht="12.75">
      <c r="A58" s="4" t="s">
        <v>45</v>
      </c>
      <c r="B58" s="4" t="s">
        <v>315</v>
      </c>
      <c r="C58" s="107" t="s">
        <v>626</v>
      </c>
      <c r="D58" s="108"/>
      <c r="E58" s="108"/>
      <c r="F58" s="4" t="s">
        <v>898</v>
      </c>
      <c r="G58" s="16">
        <v>0.35</v>
      </c>
      <c r="H58" s="16">
        <v>0</v>
      </c>
      <c r="I58" s="16">
        <f>G58*AO58</f>
        <v>0</v>
      </c>
      <c r="J58" s="16">
        <f>G58*AP58</f>
        <v>0</v>
      </c>
      <c r="K58" s="16">
        <f>G58*H58</f>
        <v>0</v>
      </c>
      <c r="L58" s="27" t="s">
        <v>922</v>
      </c>
      <c r="Z58" s="33">
        <f>IF(AQ58="5",BJ58,0)</f>
        <v>0</v>
      </c>
      <c r="AB58" s="33">
        <f>IF(AQ58="1",BH58,0)</f>
        <v>0</v>
      </c>
      <c r="AC58" s="33">
        <f>IF(AQ58="1",BI58,0)</f>
        <v>0</v>
      </c>
      <c r="AD58" s="33">
        <f>IF(AQ58="7",BH58,0)</f>
        <v>0</v>
      </c>
      <c r="AE58" s="33">
        <f>IF(AQ58="7",BI58,0)</f>
        <v>0</v>
      </c>
      <c r="AF58" s="33">
        <f>IF(AQ58="2",BH58,0)</f>
        <v>0</v>
      </c>
      <c r="AG58" s="33">
        <f>IF(AQ58="2",BI58,0)</f>
        <v>0</v>
      </c>
      <c r="AH58" s="33">
        <f>IF(AQ58="0",BJ58,0)</f>
        <v>0</v>
      </c>
      <c r="AI58" s="28"/>
      <c r="AJ58" s="16">
        <f>IF(AN58=0,K58,0)</f>
        <v>0</v>
      </c>
      <c r="AK58" s="16">
        <f>IF(AN58=15,K58,0)</f>
        <v>0</v>
      </c>
      <c r="AL58" s="16">
        <f>IF(AN58=21,K58,0)</f>
        <v>0</v>
      </c>
      <c r="AN58" s="33">
        <v>21</v>
      </c>
      <c r="AO58" s="33">
        <f>H58*0.630550025654182</f>
        <v>0</v>
      </c>
      <c r="AP58" s="33">
        <f>H58*(1-0.630550025654182)</f>
        <v>0</v>
      </c>
      <c r="AQ58" s="27" t="s">
        <v>7</v>
      </c>
      <c r="AV58" s="33">
        <f>AW58+AX58</f>
        <v>0</v>
      </c>
      <c r="AW58" s="33">
        <f>G58*AO58</f>
        <v>0</v>
      </c>
      <c r="AX58" s="33">
        <f>G58*AP58</f>
        <v>0</v>
      </c>
      <c r="AY58" s="34" t="s">
        <v>943</v>
      </c>
      <c r="AZ58" s="34" t="s">
        <v>996</v>
      </c>
      <c r="BA58" s="28" t="s">
        <v>1007</v>
      </c>
      <c r="BC58" s="33">
        <f>AW58+AX58</f>
        <v>0</v>
      </c>
      <c r="BD58" s="33">
        <f>H58/(100-BE58)*100</f>
        <v>0</v>
      </c>
      <c r="BE58" s="33">
        <v>0</v>
      </c>
      <c r="BF58" s="33">
        <f>62</f>
        <v>62</v>
      </c>
      <c r="BH58" s="16">
        <f>G58*AO58</f>
        <v>0</v>
      </c>
      <c r="BI58" s="16">
        <f>G58*AP58</f>
        <v>0</v>
      </c>
      <c r="BJ58" s="16">
        <f>G58*H58</f>
        <v>0</v>
      </c>
    </row>
    <row r="59" spans="1:47" ht="12.75">
      <c r="A59" s="5"/>
      <c r="B59" s="13" t="s">
        <v>60</v>
      </c>
      <c r="C59" s="109" t="s">
        <v>627</v>
      </c>
      <c r="D59" s="110"/>
      <c r="E59" s="110"/>
      <c r="F59" s="5" t="s">
        <v>6</v>
      </c>
      <c r="G59" s="5" t="s">
        <v>6</v>
      </c>
      <c r="H59" s="5" t="s">
        <v>6</v>
      </c>
      <c r="I59" s="36">
        <f>SUM(I60:I63)</f>
        <v>0</v>
      </c>
      <c r="J59" s="36">
        <f>SUM(J60:J63)</f>
        <v>0</v>
      </c>
      <c r="K59" s="36">
        <f>SUM(K60:K63)</f>
        <v>0</v>
      </c>
      <c r="L59" s="28"/>
      <c r="AI59" s="28"/>
      <c r="AS59" s="36">
        <f>SUM(AJ60:AJ63)</f>
        <v>0</v>
      </c>
      <c r="AT59" s="36">
        <f>SUM(AK60:AK63)</f>
        <v>0</v>
      </c>
      <c r="AU59" s="36">
        <f>SUM(AL60:AL63)</f>
        <v>0</v>
      </c>
    </row>
    <row r="60" spans="1:62" ht="12.75">
      <c r="A60" s="4" t="s">
        <v>46</v>
      </c>
      <c r="B60" s="4" t="s">
        <v>316</v>
      </c>
      <c r="C60" s="107" t="s">
        <v>628</v>
      </c>
      <c r="D60" s="108"/>
      <c r="E60" s="108"/>
      <c r="F60" s="4" t="s">
        <v>895</v>
      </c>
      <c r="G60" s="16">
        <v>26.10145</v>
      </c>
      <c r="H60" s="16">
        <v>0</v>
      </c>
      <c r="I60" s="16">
        <f>G60*AO60</f>
        <v>0</v>
      </c>
      <c r="J60" s="16">
        <f>G60*AP60</f>
        <v>0</v>
      </c>
      <c r="K60" s="16">
        <f>G60*H60</f>
        <v>0</v>
      </c>
      <c r="L60" s="27" t="s">
        <v>922</v>
      </c>
      <c r="Z60" s="33">
        <f>IF(AQ60="5",BJ60,0)</f>
        <v>0</v>
      </c>
      <c r="AB60" s="33">
        <f>IF(AQ60="1",BH60,0)</f>
        <v>0</v>
      </c>
      <c r="AC60" s="33">
        <f>IF(AQ60="1",BI60,0)</f>
        <v>0</v>
      </c>
      <c r="AD60" s="33">
        <f>IF(AQ60="7",BH60,0)</f>
        <v>0</v>
      </c>
      <c r="AE60" s="33">
        <f>IF(AQ60="7",BI60,0)</f>
        <v>0</v>
      </c>
      <c r="AF60" s="33">
        <f>IF(AQ60="2",BH60,0)</f>
        <v>0</v>
      </c>
      <c r="AG60" s="33">
        <f>IF(AQ60="2",BI60,0)</f>
        <v>0</v>
      </c>
      <c r="AH60" s="33">
        <f>IF(AQ60="0",BJ60,0)</f>
        <v>0</v>
      </c>
      <c r="AI60" s="28"/>
      <c r="AJ60" s="16">
        <f>IF(AN60=0,K60,0)</f>
        <v>0</v>
      </c>
      <c r="AK60" s="16">
        <f>IF(AN60=15,K60,0)</f>
        <v>0</v>
      </c>
      <c r="AL60" s="16">
        <f>IF(AN60=21,K60,0)</f>
        <v>0</v>
      </c>
      <c r="AN60" s="33">
        <v>21</v>
      </c>
      <c r="AO60" s="33">
        <f>H60*0.772381897979125</f>
        <v>0</v>
      </c>
      <c r="AP60" s="33">
        <f>H60*(1-0.772381897979125)</f>
        <v>0</v>
      </c>
      <c r="AQ60" s="27" t="s">
        <v>7</v>
      </c>
      <c r="AV60" s="33">
        <f>AW60+AX60</f>
        <v>0</v>
      </c>
      <c r="AW60" s="33">
        <f>G60*AO60</f>
        <v>0</v>
      </c>
      <c r="AX60" s="33">
        <f>G60*AP60</f>
        <v>0</v>
      </c>
      <c r="AY60" s="34" t="s">
        <v>944</v>
      </c>
      <c r="AZ60" s="34" t="s">
        <v>997</v>
      </c>
      <c r="BA60" s="28" t="s">
        <v>1007</v>
      </c>
      <c r="BC60" s="33">
        <f>AW60+AX60</f>
        <v>0</v>
      </c>
      <c r="BD60" s="33">
        <f>H60/(100-BE60)*100</f>
        <v>0</v>
      </c>
      <c r="BE60" s="33">
        <v>0</v>
      </c>
      <c r="BF60" s="33">
        <f>64</f>
        <v>64</v>
      </c>
      <c r="BH60" s="16">
        <f>G60*AO60</f>
        <v>0</v>
      </c>
      <c r="BI60" s="16">
        <f>G60*AP60</f>
        <v>0</v>
      </c>
      <c r="BJ60" s="16">
        <f>G60*H60</f>
        <v>0</v>
      </c>
    </row>
    <row r="61" spans="1:62" ht="12.75">
      <c r="A61" s="4" t="s">
        <v>47</v>
      </c>
      <c r="B61" s="4" t="s">
        <v>317</v>
      </c>
      <c r="C61" s="107" t="s">
        <v>629</v>
      </c>
      <c r="D61" s="108"/>
      <c r="E61" s="108"/>
      <c r="F61" s="4" t="s">
        <v>895</v>
      </c>
      <c r="G61" s="16">
        <v>26.10135</v>
      </c>
      <c r="H61" s="16">
        <v>0</v>
      </c>
      <c r="I61" s="16">
        <f>G61*AO61</f>
        <v>0</v>
      </c>
      <c r="J61" s="16">
        <f>G61*AP61</f>
        <v>0</v>
      </c>
      <c r="K61" s="16">
        <f>G61*H61</f>
        <v>0</v>
      </c>
      <c r="L61" s="27" t="s">
        <v>922</v>
      </c>
      <c r="Z61" s="33">
        <f>IF(AQ61="5",BJ61,0)</f>
        <v>0</v>
      </c>
      <c r="AB61" s="33">
        <f>IF(AQ61="1",BH61,0)</f>
        <v>0</v>
      </c>
      <c r="AC61" s="33">
        <f>IF(AQ61="1",BI61,0)</f>
        <v>0</v>
      </c>
      <c r="AD61" s="33">
        <f>IF(AQ61="7",BH61,0)</f>
        <v>0</v>
      </c>
      <c r="AE61" s="33">
        <f>IF(AQ61="7",BI61,0)</f>
        <v>0</v>
      </c>
      <c r="AF61" s="33">
        <f>IF(AQ61="2",BH61,0)</f>
        <v>0</v>
      </c>
      <c r="AG61" s="33">
        <f>IF(AQ61="2",BI61,0)</f>
        <v>0</v>
      </c>
      <c r="AH61" s="33">
        <f>IF(AQ61="0",BJ61,0)</f>
        <v>0</v>
      </c>
      <c r="AI61" s="28"/>
      <c r="AJ61" s="16">
        <f>IF(AN61=0,K61,0)</f>
        <v>0</v>
      </c>
      <c r="AK61" s="16">
        <f>IF(AN61=15,K61,0)</f>
        <v>0</v>
      </c>
      <c r="AL61" s="16">
        <f>IF(AN61=21,K61,0)</f>
        <v>0</v>
      </c>
      <c r="AN61" s="33">
        <v>21</v>
      </c>
      <c r="AO61" s="33">
        <f>H61*0.569339593466453</f>
        <v>0</v>
      </c>
      <c r="AP61" s="33">
        <f>H61*(1-0.569339593466453)</f>
        <v>0</v>
      </c>
      <c r="AQ61" s="27" t="s">
        <v>7</v>
      </c>
      <c r="AV61" s="33">
        <f>AW61+AX61</f>
        <v>0</v>
      </c>
      <c r="AW61" s="33">
        <f>G61*AO61</f>
        <v>0</v>
      </c>
      <c r="AX61" s="33">
        <f>G61*AP61</f>
        <v>0</v>
      </c>
      <c r="AY61" s="34" t="s">
        <v>944</v>
      </c>
      <c r="AZ61" s="34" t="s">
        <v>997</v>
      </c>
      <c r="BA61" s="28" t="s">
        <v>1007</v>
      </c>
      <c r="BC61" s="33">
        <f>AW61+AX61</f>
        <v>0</v>
      </c>
      <c r="BD61" s="33">
        <f>H61/(100-BE61)*100</f>
        <v>0</v>
      </c>
      <c r="BE61" s="33">
        <v>0</v>
      </c>
      <c r="BF61" s="33">
        <f>65</f>
        <v>65</v>
      </c>
      <c r="BH61" s="16">
        <f>G61*AO61</f>
        <v>0</v>
      </c>
      <c r="BI61" s="16">
        <f>G61*AP61</f>
        <v>0</v>
      </c>
      <c r="BJ61" s="16">
        <f>G61*H61</f>
        <v>0</v>
      </c>
    </row>
    <row r="62" spans="1:62" ht="12.75">
      <c r="A62" s="4" t="s">
        <v>48</v>
      </c>
      <c r="B62" s="4" t="s">
        <v>318</v>
      </c>
      <c r="C62" s="107" t="s">
        <v>630</v>
      </c>
      <c r="D62" s="108"/>
      <c r="E62" s="108"/>
      <c r="F62" s="4" t="s">
        <v>899</v>
      </c>
      <c r="G62" s="16">
        <v>18.001</v>
      </c>
      <c r="H62" s="16">
        <v>0</v>
      </c>
      <c r="I62" s="16">
        <f>G62*AO62</f>
        <v>0</v>
      </c>
      <c r="J62" s="16">
        <f>G62*AP62</f>
        <v>0</v>
      </c>
      <c r="K62" s="16">
        <f>G62*H62</f>
        <v>0</v>
      </c>
      <c r="L62" s="27" t="s">
        <v>922</v>
      </c>
      <c r="Z62" s="33">
        <f>IF(AQ62="5",BJ62,0)</f>
        <v>0</v>
      </c>
      <c r="AB62" s="33">
        <f>IF(AQ62="1",BH62,0)</f>
        <v>0</v>
      </c>
      <c r="AC62" s="33">
        <f>IF(AQ62="1",BI62,0)</f>
        <v>0</v>
      </c>
      <c r="AD62" s="33">
        <f>IF(AQ62="7",BH62,0)</f>
        <v>0</v>
      </c>
      <c r="AE62" s="33">
        <f>IF(AQ62="7",BI62,0)</f>
        <v>0</v>
      </c>
      <c r="AF62" s="33">
        <f>IF(AQ62="2",BH62,0)</f>
        <v>0</v>
      </c>
      <c r="AG62" s="33">
        <f>IF(AQ62="2",BI62,0)</f>
        <v>0</v>
      </c>
      <c r="AH62" s="33">
        <f>IF(AQ62="0",BJ62,0)</f>
        <v>0</v>
      </c>
      <c r="AI62" s="28"/>
      <c r="AJ62" s="16">
        <f>IF(AN62=0,K62,0)</f>
        <v>0</v>
      </c>
      <c r="AK62" s="16">
        <f>IF(AN62=15,K62,0)</f>
        <v>0</v>
      </c>
      <c r="AL62" s="16">
        <f>IF(AN62=21,K62,0)</f>
        <v>0</v>
      </c>
      <c r="AN62" s="33">
        <v>21</v>
      </c>
      <c r="AO62" s="33">
        <f>H62*0.761086343764844</f>
        <v>0</v>
      </c>
      <c r="AP62" s="33">
        <f>H62*(1-0.761086343764844)</f>
        <v>0</v>
      </c>
      <c r="AQ62" s="27" t="s">
        <v>7</v>
      </c>
      <c r="AV62" s="33">
        <f>AW62+AX62</f>
        <v>0</v>
      </c>
      <c r="AW62" s="33">
        <f>G62*AO62</f>
        <v>0</v>
      </c>
      <c r="AX62" s="33">
        <f>G62*AP62</f>
        <v>0</v>
      </c>
      <c r="AY62" s="34" t="s">
        <v>944</v>
      </c>
      <c r="AZ62" s="34" t="s">
        <v>997</v>
      </c>
      <c r="BA62" s="28" t="s">
        <v>1007</v>
      </c>
      <c r="BC62" s="33">
        <f>AW62+AX62</f>
        <v>0</v>
      </c>
      <c r="BD62" s="33">
        <f>H62/(100-BE62)*100</f>
        <v>0</v>
      </c>
      <c r="BE62" s="33">
        <v>0</v>
      </c>
      <c r="BF62" s="33">
        <f>66</f>
        <v>66</v>
      </c>
      <c r="BH62" s="16">
        <f>G62*AO62</f>
        <v>0</v>
      </c>
      <c r="BI62" s="16">
        <f>G62*AP62</f>
        <v>0</v>
      </c>
      <c r="BJ62" s="16">
        <f>G62*H62</f>
        <v>0</v>
      </c>
    </row>
    <row r="63" spans="1:62" ht="12.75">
      <c r="A63" s="4" t="s">
        <v>49</v>
      </c>
      <c r="B63" s="4" t="s">
        <v>316</v>
      </c>
      <c r="C63" s="107" t="s">
        <v>631</v>
      </c>
      <c r="D63" s="108"/>
      <c r="E63" s="108"/>
      <c r="F63" s="4" t="s">
        <v>895</v>
      </c>
      <c r="G63" s="16">
        <v>71.4</v>
      </c>
      <c r="H63" s="16">
        <v>0</v>
      </c>
      <c r="I63" s="16">
        <f>G63*AO63</f>
        <v>0</v>
      </c>
      <c r="J63" s="16">
        <f>G63*AP63</f>
        <v>0</v>
      </c>
      <c r="K63" s="16">
        <f>G63*H63</f>
        <v>0</v>
      </c>
      <c r="L63" s="27" t="s">
        <v>922</v>
      </c>
      <c r="Z63" s="33">
        <f>IF(AQ63="5",BJ63,0)</f>
        <v>0</v>
      </c>
      <c r="AB63" s="33">
        <f>IF(AQ63="1",BH63,0)</f>
        <v>0</v>
      </c>
      <c r="AC63" s="33">
        <f>IF(AQ63="1",BI63,0)</f>
        <v>0</v>
      </c>
      <c r="AD63" s="33">
        <f>IF(AQ63="7",BH63,0)</f>
        <v>0</v>
      </c>
      <c r="AE63" s="33">
        <f>IF(AQ63="7",BI63,0)</f>
        <v>0</v>
      </c>
      <c r="AF63" s="33">
        <f>IF(AQ63="2",BH63,0)</f>
        <v>0</v>
      </c>
      <c r="AG63" s="33">
        <f>IF(AQ63="2",BI63,0)</f>
        <v>0</v>
      </c>
      <c r="AH63" s="33">
        <f>IF(AQ63="0",BJ63,0)</f>
        <v>0</v>
      </c>
      <c r="AI63" s="28"/>
      <c r="AJ63" s="16">
        <f>IF(AN63=0,K63,0)</f>
        <v>0</v>
      </c>
      <c r="AK63" s="16">
        <f>IF(AN63=15,K63,0)</f>
        <v>0</v>
      </c>
      <c r="AL63" s="16">
        <f>IF(AN63=21,K63,0)</f>
        <v>0</v>
      </c>
      <c r="AN63" s="33">
        <v>21</v>
      </c>
      <c r="AO63" s="33">
        <f>H63*0.772383345115523</f>
        <v>0</v>
      </c>
      <c r="AP63" s="33">
        <f>H63*(1-0.772383345115523)</f>
        <v>0</v>
      </c>
      <c r="AQ63" s="27" t="s">
        <v>7</v>
      </c>
      <c r="AV63" s="33">
        <f>AW63+AX63</f>
        <v>0</v>
      </c>
      <c r="AW63" s="33">
        <f>G63*AO63</f>
        <v>0</v>
      </c>
      <c r="AX63" s="33">
        <f>G63*AP63</f>
        <v>0</v>
      </c>
      <c r="AY63" s="34" t="s">
        <v>944</v>
      </c>
      <c r="AZ63" s="34" t="s">
        <v>997</v>
      </c>
      <c r="BA63" s="28" t="s">
        <v>1007</v>
      </c>
      <c r="BC63" s="33">
        <f>AW63+AX63</f>
        <v>0</v>
      </c>
      <c r="BD63" s="33">
        <f>H63/(100-BE63)*100</f>
        <v>0</v>
      </c>
      <c r="BE63" s="33">
        <v>0</v>
      </c>
      <c r="BF63" s="33">
        <f>67</f>
        <v>67</v>
      </c>
      <c r="BH63" s="16">
        <f>G63*AO63</f>
        <v>0</v>
      </c>
      <c r="BI63" s="16">
        <f>G63*AP63</f>
        <v>0</v>
      </c>
      <c r="BJ63" s="16">
        <f>G63*H63</f>
        <v>0</v>
      </c>
    </row>
    <row r="64" spans="1:47" ht="12.75">
      <c r="A64" s="5"/>
      <c r="B64" s="13" t="s">
        <v>63</v>
      </c>
      <c r="C64" s="109" t="s">
        <v>632</v>
      </c>
      <c r="D64" s="110"/>
      <c r="E64" s="110"/>
      <c r="F64" s="5" t="s">
        <v>6</v>
      </c>
      <c r="G64" s="5" t="s">
        <v>6</v>
      </c>
      <c r="H64" s="5" t="s">
        <v>6</v>
      </c>
      <c r="I64" s="36">
        <f>SUM(I65:I67)</f>
        <v>0</v>
      </c>
      <c r="J64" s="36">
        <f>SUM(J65:J67)</f>
        <v>0</v>
      </c>
      <c r="K64" s="36">
        <f>SUM(K65:K67)</f>
        <v>0</v>
      </c>
      <c r="L64" s="28"/>
      <c r="AI64" s="28"/>
      <c r="AS64" s="36">
        <f>SUM(AJ65:AJ67)</f>
        <v>0</v>
      </c>
      <c r="AT64" s="36">
        <f>SUM(AK65:AK67)</f>
        <v>0</v>
      </c>
      <c r="AU64" s="36">
        <f>SUM(AL65:AL67)</f>
        <v>0</v>
      </c>
    </row>
    <row r="65" spans="1:62" ht="12.75">
      <c r="A65" s="4" t="s">
        <v>50</v>
      </c>
      <c r="B65" s="4" t="s">
        <v>319</v>
      </c>
      <c r="C65" s="107" t="s">
        <v>633</v>
      </c>
      <c r="D65" s="108"/>
      <c r="E65" s="108"/>
      <c r="F65" s="4" t="s">
        <v>895</v>
      </c>
      <c r="G65" s="16">
        <v>26.10145</v>
      </c>
      <c r="H65" s="16">
        <v>0</v>
      </c>
      <c r="I65" s="16">
        <f>G65*AO65</f>
        <v>0</v>
      </c>
      <c r="J65" s="16">
        <f>G65*AP65</f>
        <v>0</v>
      </c>
      <c r="K65" s="16">
        <f>G65*H65</f>
        <v>0</v>
      </c>
      <c r="L65" s="27" t="s">
        <v>922</v>
      </c>
      <c r="Z65" s="33">
        <f>IF(AQ65="5",BJ65,0)</f>
        <v>0</v>
      </c>
      <c r="AB65" s="33">
        <f>IF(AQ65="1",BH65,0)</f>
        <v>0</v>
      </c>
      <c r="AC65" s="33">
        <f>IF(AQ65="1",BI65,0)</f>
        <v>0</v>
      </c>
      <c r="AD65" s="33">
        <f>IF(AQ65="7",BH65,0)</f>
        <v>0</v>
      </c>
      <c r="AE65" s="33">
        <f>IF(AQ65="7",BI65,0)</f>
        <v>0</v>
      </c>
      <c r="AF65" s="33">
        <f>IF(AQ65="2",BH65,0)</f>
        <v>0</v>
      </c>
      <c r="AG65" s="33">
        <f>IF(AQ65="2",BI65,0)</f>
        <v>0</v>
      </c>
      <c r="AH65" s="33">
        <f>IF(AQ65="0",BJ65,0)</f>
        <v>0</v>
      </c>
      <c r="AI65" s="28"/>
      <c r="AJ65" s="16">
        <f>IF(AN65=0,K65,0)</f>
        <v>0</v>
      </c>
      <c r="AK65" s="16">
        <f>IF(AN65=15,K65,0)</f>
        <v>0</v>
      </c>
      <c r="AL65" s="16">
        <f>IF(AN65=21,K65,0)</f>
        <v>0</v>
      </c>
      <c r="AN65" s="33">
        <v>21</v>
      </c>
      <c r="AO65" s="33">
        <f>H65*0.122275509412839</f>
        <v>0</v>
      </c>
      <c r="AP65" s="33">
        <f>H65*(1-0.122275509412839)</f>
        <v>0</v>
      </c>
      <c r="AQ65" s="27" t="s">
        <v>7</v>
      </c>
      <c r="AV65" s="33">
        <f>AW65+AX65</f>
        <v>0</v>
      </c>
      <c r="AW65" s="33">
        <f>G65*AO65</f>
        <v>0</v>
      </c>
      <c r="AX65" s="33">
        <f>G65*AP65</f>
        <v>0</v>
      </c>
      <c r="AY65" s="34" t="s">
        <v>945</v>
      </c>
      <c r="AZ65" s="34" t="s">
        <v>997</v>
      </c>
      <c r="BA65" s="28" t="s">
        <v>1007</v>
      </c>
      <c r="BC65" s="33">
        <f>AW65+AX65</f>
        <v>0</v>
      </c>
      <c r="BD65" s="33">
        <f>H65/(100-BE65)*100</f>
        <v>0</v>
      </c>
      <c r="BE65" s="33">
        <v>0</v>
      </c>
      <c r="BF65" s="33">
        <f>69</f>
        <v>69</v>
      </c>
      <c r="BH65" s="16">
        <f>G65*AO65</f>
        <v>0</v>
      </c>
      <c r="BI65" s="16">
        <f>G65*AP65</f>
        <v>0</v>
      </c>
      <c r="BJ65" s="16">
        <f>G65*H65</f>
        <v>0</v>
      </c>
    </row>
    <row r="66" spans="1:62" ht="12.75">
      <c r="A66" s="6" t="s">
        <v>51</v>
      </c>
      <c r="B66" s="6" t="s">
        <v>320</v>
      </c>
      <c r="C66" s="111" t="s">
        <v>1277</v>
      </c>
      <c r="D66" s="112"/>
      <c r="E66" s="112"/>
      <c r="F66" s="6" t="s">
        <v>895</v>
      </c>
      <c r="G66" s="17">
        <v>27.95625</v>
      </c>
      <c r="H66" s="17">
        <v>0</v>
      </c>
      <c r="I66" s="17">
        <f>G66*AO66</f>
        <v>0</v>
      </c>
      <c r="J66" s="17">
        <f>G66*AP66</f>
        <v>0</v>
      </c>
      <c r="K66" s="17">
        <f>G66*H66</f>
        <v>0</v>
      </c>
      <c r="L66" s="29" t="s">
        <v>922</v>
      </c>
      <c r="Z66" s="33">
        <f>IF(AQ66="5",BJ66,0)</f>
        <v>0</v>
      </c>
      <c r="AB66" s="33">
        <f>IF(AQ66="1",BH66,0)</f>
        <v>0</v>
      </c>
      <c r="AC66" s="33">
        <f>IF(AQ66="1",BI66,0)</f>
        <v>0</v>
      </c>
      <c r="AD66" s="33">
        <f>IF(AQ66="7",BH66,0)</f>
        <v>0</v>
      </c>
      <c r="AE66" s="33">
        <f>IF(AQ66="7",BI66,0)</f>
        <v>0</v>
      </c>
      <c r="AF66" s="33">
        <f>IF(AQ66="2",BH66,0)</f>
        <v>0</v>
      </c>
      <c r="AG66" s="33">
        <f>IF(AQ66="2",BI66,0)</f>
        <v>0</v>
      </c>
      <c r="AH66" s="33">
        <f>IF(AQ66="0",BJ66,0)</f>
        <v>0</v>
      </c>
      <c r="AI66" s="28"/>
      <c r="AJ66" s="17">
        <f>IF(AN66=0,K66,0)</f>
        <v>0</v>
      </c>
      <c r="AK66" s="17">
        <f>IF(AN66=15,K66,0)</f>
        <v>0</v>
      </c>
      <c r="AL66" s="17">
        <f>IF(AN66=21,K66,0)</f>
        <v>0</v>
      </c>
      <c r="AN66" s="33">
        <v>21</v>
      </c>
      <c r="AO66" s="33">
        <f>H66*1</f>
        <v>0</v>
      </c>
      <c r="AP66" s="33">
        <f>H66*(1-1)</f>
        <v>0</v>
      </c>
      <c r="AQ66" s="29" t="s">
        <v>7</v>
      </c>
      <c r="AV66" s="33">
        <f>AW66+AX66</f>
        <v>0</v>
      </c>
      <c r="AW66" s="33">
        <f>G66*AO66</f>
        <v>0</v>
      </c>
      <c r="AX66" s="33">
        <f>G66*AP66</f>
        <v>0</v>
      </c>
      <c r="AY66" s="34" t="s">
        <v>945</v>
      </c>
      <c r="AZ66" s="34" t="s">
        <v>997</v>
      </c>
      <c r="BA66" s="28" t="s">
        <v>1007</v>
      </c>
      <c r="BC66" s="33">
        <f>AW66+AX66</f>
        <v>0</v>
      </c>
      <c r="BD66" s="33">
        <f>H66/(100-BE66)*100</f>
        <v>0</v>
      </c>
      <c r="BE66" s="33">
        <v>0</v>
      </c>
      <c r="BF66" s="33">
        <f>70</f>
        <v>70</v>
      </c>
      <c r="BH66" s="17">
        <f>G66*AO66</f>
        <v>0</v>
      </c>
      <c r="BI66" s="17">
        <f>G66*AP66</f>
        <v>0</v>
      </c>
      <c r="BJ66" s="17">
        <f>G66*H66</f>
        <v>0</v>
      </c>
    </row>
    <row r="67" spans="1:62" ht="12.75">
      <c r="A67" s="6" t="s">
        <v>52</v>
      </c>
      <c r="B67" s="6" t="s">
        <v>321</v>
      </c>
      <c r="C67" s="111" t="s">
        <v>634</v>
      </c>
      <c r="D67" s="112"/>
      <c r="E67" s="112"/>
      <c r="F67" s="6" t="s">
        <v>896</v>
      </c>
      <c r="G67" s="17">
        <v>19</v>
      </c>
      <c r="H67" s="17">
        <v>0</v>
      </c>
      <c r="I67" s="17">
        <f>G67*AO67</f>
        <v>0</v>
      </c>
      <c r="J67" s="17">
        <f>G67*AP67</f>
        <v>0</v>
      </c>
      <c r="K67" s="17">
        <f>G67*H67</f>
        <v>0</v>
      </c>
      <c r="L67" s="29" t="s">
        <v>922</v>
      </c>
      <c r="Z67" s="33">
        <f>IF(AQ67="5",BJ67,0)</f>
        <v>0</v>
      </c>
      <c r="AB67" s="33">
        <f>IF(AQ67="1",BH67,0)</f>
        <v>0</v>
      </c>
      <c r="AC67" s="33">
        <f>IF(AQ67="1",BI67,0)</f>
        <v>0</v>
      </c>
      <c r="AD67" s="33">
        <f>IF(AQ67="7",BH67,0)</f>
        <v>0</v>
      </c>
      <c r="AE67" s="33">
        <f>IF(AQ67="7",BI67,0)</f>
        <v>0</v>
      </c>
      <c r="AF67" s="33">
        <f>IF(AQ67="2",BH67,0)</f>
        <v>0</v>
      </c>
      <c r="AG67" s="33">
        <f>IF(AQ67="2",BI67,0)</f>
        <v>0</v>
      </c>
      <c r="AH67" s="33">
        <f>IF(AQ67="0",BJ67,0)</f>
        <v>0</v>
      </c>
      <c r="AI67" s="28"/>
      <c r="AJ67" s="17">
        <f>IF(AN67=0,K67,0)</f>
        <v>0</v>
      </c>
      <c r="AK67" s="17">
        <f>IF(AN67=15,K67,0)</f>
        <v>0</v>
      </c>
      <c r="AL67" s="17">
        <f>IF(AN67=21,K67,0)</f>
        <v>0</v>
      </c>
      <c r="AN67" s="33">
        <v>21</v>
      </c>
      <c r="AO67" s="33">
        <f>H67*1</f>
        <v>0</v>
      </c>
      <c r="AP67" s="33">
        <f>H67*(1-1)</f>
        <v>0</v>
      </c>
      <c r="AQ67" s="29" t="s">
        <v>7</v>
      </c>
      <c r="AV67" s="33">
        <f>AW67+AX67</f>
        <v>0</v>
      </c>
      <c r="AW67" s="33">
        <f>G67*AO67</f>
        <v>0</v>
      </c>
      <c r="AX67" s="33">
        <f>G67*AP67</f>
        <v>0</v>
      </c>
      <c r="AY67" s="34" t="s">
        <v>945</v>
      </c>
      <c r="AZ67" s="34" t="s">
        <v>997</v>
      </c>
      <c r="BA67" s="28" t="s">
        <v>1007</v>
      </c>
      <c r="BC67" s="33">
        <f>AW67+AX67</f>
        <v>0</v>
      </c>
      <c r="BD67" s="33">
        <f>H67/(100-BE67)*100</f>
        <v>0</v>
      </c>
      <c r="BE67" s="33">
        <v>0</v>
      </c>
      <c r="BF67" s="33">
        <f>71</f>
        <v>71</v>
      </c>
      <c r="BH67" s="17">
        <f>G67*AO67</f>
        <v>0</v>
      </c>
      <c r="BI67" s="17">
        <f>G67*AP67</f>
        <v>0</v>
      </c>
      <c r="BJ67" s="17">
        <f>G67*H67</f>
        <v>0</v>
      </c>
    </row>
    <row r="68" spans="1:47" ht="12.75">
      <c r="A68" s="5"/>
      <c r="B68" s="13" t="s">
        <v>65</v>
      </c>
      <c r="C68" s="109" t="s">
        <v>635</v>
      </c>
      <c r="D68" s="110"/>
      <c r="E68" s="110"/>
      <c r="F68" s="5" t="s">
        <v>6</v>
      </c>
      <c r="G68" s="5" t="s">
        <v>6</v>
      </c>
      <c r="H68" s="5" t="s">
        <v>6</v>
      </c>
      <c r="I68" s="36">
        <f>SUM(I69:I74)</f>
        <v>0</v>
      </c>
      <c r="J68" s="36">
        <f>SUM(J69:J74)</f>
        <v>0</v>
      </c>
      <c r="K68" s="36">
        <f>SUM(K69:K74)</f>
        <v>0</v>
      </c>
      <c r="L68" s="28"/>
      <c r="AI68" s="28"/>
      <c r="AS68" s="36">
        <f>SUM(AJ69:AJ74)</f>
        <v>0</v>
      </c>
      <c r="AT68" s="36">
        <f>SUM(AK69:AK74)</f>
        <v>0</v>
      </c>
      <c r="AU68" s="36">
        <f>SUM(AL69:AL74)</f>
        <v>0</v>
      </c>
    </row>
    <row r="69" spans="1:62" ht="12.75">
      <c r="A69" s="4" t="s">
        <v>53</v>
      </c>
      <c r="B69" s="4" t="s">
        <v>322</v>
      </c>
      <c r="C69" s="107" t="s">
        <v>636</v>
      </c>
      <c r="D69" s="108"/>
      <c r="E69" s="108"/>
      <c r="F69" s="4" t="s">
        <v>895</v>
      </c>
      <c r="G69" s="16">
        <v>34.775</v>
      </c>
      <c r="H69" s="16">
        <v>0</v>
      </c>
      <c r="I69" s="16">
        <f aca="true" t="shared" si="22" ref="I69:I74">G69*AO69</f>
        <v>0</v>
      </c>
      <c r="J69" s="16">
        <f aca="true" t="shared" si="23" ref="J69:J74">G69*AP69</f>
        <v>0</v>
      </c>
      <c r="K69" s="16">
        <f aca="true" t="shared" si="24" ref="K69:K74">G69*H69</f>
        <v>0</v>
      </c>
      <c r="L69" s="27" t="s">
        <v>922</v>
      </c>
      <c r="Z69" s="33">
        <f aca="true" t="shared" si="25" ref="Z69:Z74">IF(AQ69="5",BJ69,0)</f>
        <v>0</v>
      </c>
      <c r="AB69" s="33">
        <f aca="true" t="shared" si="26" ref="AB69:AB74">IF(AQ69="1",BH69,0)</f>
        <v>0</v>
      </c>
      <c r="AC69" s="33">
        <f aca="true" t="shared" si="27" ref="AC69:AC74">IF(AQ69="1",BI69,0)</f>
        <v>0</v>
      </c>
      <c r="AD69" s="33">
        <f aca="true" t="shared" si="28" ref="AD69:AD74">IF(AQ69="7",BH69,0)</f>
        <v>0</v>
      </c>
      <c r="AE69" s="33">
        <f aca="true" t="shared" si="29" ref="AE69:AE74">IF(AQ69="7",BI69,0)</f>
        <v>0</v>
      </c>
      <c r="AF69" s="33">
        <f aca="true" t="shared" si="30" ref="AF69:AF74">IF(AQ69="2",BH69,0)</f>
        <v>0</v>
      </c>
      <c r="AG69" s="33">
        <f aca="true" t="shared" si="31" ref="AG69:AG74">IF(AQ69="2",BI69,0)</f>
        <v>0</v>
      </c>
      <c r="AH69" s="33">
        <f aca="true" t="shared" si="32" ref="AH69:AH74">IF(AQ69="0",BJ69,0)</f>
        <v>0</v>
      </c>
      <c r="AI69" s="28"/>
      <c r="AJ69" s="16">
        <f aca="true" t="shared" si="33" ref="AJ69:AJ74">IF(AN69=0,K69,0)</f>
        <v>0</v>
      </c>
      <c r="AK69" s="16">
        <f aca="true" t="shared" si="34" ref="AK69:AK74">IF(AN69=15,K69,0)</f>
        <v>0</v>
      </c>
      <c r="AL69" s="16">
        <f aca="true" t="shared" si="35" ref="AL69:AL74">IF(AN69=21,K69,0)</f>
        <v>0</v>
      </c>
      <c r="AN69" s="33">
        <v>21</v>
      </c>
      <c r="AO69" s="33">
        <f>H69*0.395832125837197</f>
        <v>0</v>
      </c>
      <c r="AP69" s="33">
        <f>H69*(1-0.395832125837197)</f>
        <v>0</v>
      </c>
      <c r="AQ69" s="27" t="s">
        <v>7</v>
      </c>
      <c r="AV69" s="33">
        <f aca="true" t="shared" si="36" ref="AV69:AV74">AW69+AX69</f>
        <v>0</v>
      </c>
      <c r="AW69" s="33">
        <f aca="true" t="shared" si="37" ref="AW69:AW74">G69*AO69</f>
        <v>0</v>
      </c>
      <c r="AX69" s="33">
        <f aca="true" t="shared" si="38" ref="AX69:AX74">G69*AP69</f>
        <v>0</v>
      </c>
      <c r="AY69" s="34" t="s">
        <v>946</v>
      </c>
      <c r="AZ69" s="34" t="s">
        <v>998</v>
      </c>
      <c r="BA69" s="28" t="s">
        <v>1007</v>
      </c>
      <c r="BC69" s="33">
        <f aca="true" t="shared" si="39" ref="BC69:BC74">AW69+AX69</f>
        <v>0</v>
      </c>
      <c r="BD69" s="33">
        <f aca="true" t="shared" si="40" ref="BD69:BD74">H69/(100-BE69)*100</f>
        <v>0</v>
      </c>
      <c r="BE69" s="33">
        <v>0</v>
      </c>
      <c r="BF69" s="33">
        <f>73</f>
        <v>73</v>
      </c>
      <c r="BH69" s="16">
        <f aca="true" t="shared" si="41" ref="BH69:BH74">G69*AO69</f>
        <v>0</v>
      </c>
      <c r="BI69" s="16">
        <f aca="true" t="shared" si="42" ref="BI69:BI74">G69*AP69</f>
        <v>0</v>
      </c>
      <c r="BJ69" s="16">
        <f aca="true" t="shared" si="43" ref="BJ69:BJ74">G69*H69</f>
        <v>0</v>
      </c>
    </row>
    <row r="70" spans="1:62" ht="12.75">
      <c r="A70" s="4" t="s">
        <v>54</v>
      </c>
      <c r="B70" s="4" t="s">
        <v>323</v>
      </c>
      <c r="C70" s="107" t="s">
        <v>637</v>
      </c>
      <c r="D70" s="108"/>
      <c r="E70" s="108"/>
      <c r="F70" s="4" t="s">
        <v>895</v>
      </c>
      <c r="G70" s="16">
        <v>49.8554</v>
      </c>
      <c r="H70" s="16">
        <v>0</v>
      </c>
      <c r="I70" s="16">
        <f t="shared" si="22"/>
        <v>0</v>
      </c>
      <c r="J70" s="16">
        <f t="shared" si="23"/>
        <v>0</v>
      </c>
      <c r="K70" s="16">
        <f t="shared" si="24"/>
        <v>0</v>
      </c>
      <c r="L70" s="27" t="s">
        <v>922</v>
      </c>
      <c r="Z70" s="33">
        <f t="shared" si="25"/>
        <v>0</v>
      </c>
      <c r="AB70" s="33">
        <f t="shared" si="26"/>
        <v>0</v>
      </c>
      <c r="AC70" s="33">
        <f t="shared" si="27"/>
        <v>0</v>
      </c>
      <c r="AD70" s="33">
        <f t="shared" si="28"/>
        <v>0</v>
      </c>
      <c r="AE70" s="33">
        <f t="shared" si="29"/>
        <v>0</v>
      </c>
      <c r="AF70" s="33">
        <f t="shared" si="30"/>
        <v>0</v>
      </c>
      <c r="AG70" s="33">
        <f t="shared" si="31"/>
        <v>0</v>
      </c>
      <c r="AH70" s="33">
        <f t="shared" si="32"/>
        <v>0</v>
      </c>
      <c r="AI70" s="28"/>
      <c r="AJ70" s="16">
        <f t="shared" si="33"/>
        <v>0</v>
      </c>
      <c r="AK70" s="16">
        <f t="shared" si="34"/>
        <v>0</v>
      </c>
      <c r="AL70" s="16">
        <f t="shared" si="35"/>
        <v>0</v>
      </c>
      <c r="AN70" s="33">
        <v>21</v>
      </c>
      <c r="AO70" s="33">
        <f>H70*0.101993200812679</f>
        <v>0</v>
      </c>
      <c r="AP70" s="33">
        <f>H70*(1-0.101993200812679)</f>
        <v>0</v>
      </c>
      <c r="AQ70" s="27" t="s">
        <v>7</v>
      </c>
      <c r="AV70" s="33">
        <f t="shared" si="36"/>
        <v>0</v>
      </c>
      <c r="AW70" s="33">
        <f t="shared" si="37"/>
        <v>0</v>
      </c>
      <c r="AX70" s="33">
        <f t="shared" si="38"/>
        <v>0</v>
      </c>
      <c r="AY70" s="34" t="s">
        <v>946</v>
      </c>
      <c r="AZ70" s="34" t="s">
        <v>998</v>
      </c>
      <c r="BA70" s="28" t="s">
        <v>1007</v>
      </c>
      <c r="BC70" s="33">
        <f t="shared" si="39"/>
        <v>0</v>
      </c>
      <c r="BD70" s="33">
        <f t="shared" si="40"/>
        <v>0</v>
      </c>
      <c r="BE70" s="33">
        <v>0</v>
      </c>
      <c r="BF70" s="33">
        <f>74</f>
        <v>74</v>
      </c>
      <c r="BH70" s="16">
        <f t="shared" si="41"/>
        <v>0</v>
      </c>
      <c r="BI70" s="16">
        <f t="shared" si="42"/>
        <v>0</v>
      </c>
      <c r="BJ70" s="16">
        <f t="shared" si="43"/>
        <v>0</v>
      </c>
    </row>
    <row r="71" spans="1:62" ht="12.75">
      <c r="A71" s="4" t="s">
        <v>55</v>
      </c>
      <c r="B71" s="4" t="s">
        <v>324</v>
      </c>
      <c r="C71" s="107" t="s">
        <v>638</v>
      </c>
      <c r="D71" s="108"/>
      <c r="E71" s="108"/>
      <c r="F71" s="4" t="s">
        <v>895</v>
      </c>
      <c r="G71" s="16">
        <v>9.24</v>
      </c>
      <c r="H71" s="16">
        <v>0</v>
      </c>
      <c r="I71" s="16">
        <f t="shared" si="22"/>
        <v>0</v>
      </c>
      <c r="J71" s="16">
        <f t="shared" si="23"/>
        <v>0</v>
      </c>
      <c r="K71" s="16">
        <f t="shared" si="24"/>
        <v>0</v>
      </c>
      <c r="L71" s="27" t="s">
        <v>922</v>
      </c>
      <c r="Z71" s="33">
        <f t="shared" si="25"/>
        <v>0</v>
      </c>
      <c r="AB71" s="33">
        <f t="shared" si="26"/>
        <v>0</v>
      </c>
      <c r="AC71" s="33">
        <f t="shared" si="27"/>
        <v>0</v>
      </c>
      <c r="AD71" s="33">
        <f t="shared" si="28"/>
        <v>0</v>
      </c>
      <c r="AE71" s="33">
        <f t="shared" si="29"/>
        <v>0</v>
      </c>
      <c r="AF71" s="33">
        <f t="shared" si="30"/>
        <v>0</v>
      </c>
      <c r="AG71" s="33">
        <f t="shared" si="31"/>
        <v>0</v>
      </c>
      <c r="AH71" s="33">
        <f t="shared" si="32"/>
        <v>0</v>
      </c>
      <c r="AI71" s="28"/>
      <c r="AJ71" s="16">
        <f t="shared" si="33"/>
        <v>0</v>
      </c>
      <c r="AK71" s="16">
        <f t="shared" si="34"/>
        <v>0</v>
      </c>
      <c r="AL71" s="16">
        <f t="shared" si="35"/>
        <v>0</v>
      </c>
      <c r="AN71" s="33">
        <v>21</v>
      </c>
      <c r="AO71" s="33">
        <f>H71*0.273531410911982</f>
        <v>0</v>
      </c>
      <c r="AP71" s="33">
        <f>H71*(1-0.273531410911982)</f>
        <v>0</v>
      </c>
      <c r="AQ71" s="27" t="s">
        <v>7</v>
      </c>
      <c r="AV71" s="33">
        <f t="shared" si="36"/>
        <v>0</v>
      </c>
      <c r="AW71" s="33">
        <f t="shared" si="37"/>
        <v>0</v>
      </c>
      <c r="AX71" s="33">
        <f t="shared" si="38"/>
        <v>0</v>
      </c>
      <c r="AY71" s="34" t="s">
        <v>946</v>
      </c>
      <c r="AZ71" s="34" t="s">
        <v>998</v>
      </c>
      <c r="BA71" s="28" t="s">
        <v>1007</v>
      </c>
      <c r="BC71" s="33">
        <f t="shared" si="39"/>
        <v>0</v>
      </c>
      <c r="BD71" s="33">
        <f t="shared" si="40"/>
        <v>0</v>
      </c>
      <c r="BE71" s="33">
        <v>0</v>
      </c>
      <c r="BF71" s="33">
        <f>75</f>
        <v>75</v>
      </c>
      <c r="BH71" s="16">
        <f t="shared" si="41"/>
        <v>0</v>
      </c>
      <c r="BI71" s="16">
        <f t="shared" si="42"/>
        <v>0</v>
      </c>
      <c r="BJ71" s="16">
        <f t="shared" si="43"/>
        <v>0</v>
      </c>
    </row>
    <row r="72" spans="1:62" ht="12.75">
      <c r="A72" s="4" t="s">
        <v>56</v>
      </c>
      <c r="B72" s="4" t="s">
        <v>325</v>
      </c>
      <c r="C72" s="107" t="s">
        <v>639</v>
      </c>
      <c r="D72" s="108"/>
      <c r="E72" s="108"/>
      <c r="F72" s="4" t="s">
        <v>895</v>
      </c>
      <c r="G72" s="16">
        <v>18.865</v>
      </c>
      <c r="H72" s="16">
        <v>0</v>
      </c>
      <c r="I72" s="16">
        <f t="shared" si="22"/>
        <v>0</v>
      </c>
      <c r="J72" s="16">
        <f t="shared" si="23"/>
        <v>0</v>
      </c>
      <c r="K72" s="16">
        <f t="shared" si="24"/>
        <v>0</v>
      </c>
      <c r="L72" s="27" t="s">
        <v>922</v>
      </c>
      <c r="Z72" s="33">
        <f t="shared" si="25"/>
        <v>0</v>
      </c>
      <c r="AB72" s="33">
        <f t="shared" si="26"/>
        <v>0</v>
      </c>
      <c r="AC72" s="33">
        <f t="shared" si="27"/>
        <v>0</v>
      </c>
      <c r="AD72" s="33">
        <f t="shared" si="28"/>
        <v>0</v>
      </c>
      <c r="AE72" s="33">
        <f t="shared" si="29"/>
        <v>0</v>
      </c>
      <c r="AF72" s="33">
        <f t="shared" si="30"/>
        <v>0</v>
      </c>
      <c r="AG72" s="33">
        <f t="shared" si="31"/>
        <v>0</v>
      </c>
      <c r="AH72" s="33">
        <f t="shared" si="32"/>
        <v>0</v>
      </c>
      <c r="AI72" s="28"/>
      <c r="AJ72" s="16">
        <f t="shared" si="33"/>
        <v>0</v>
      </c>
      <c r="AK72" s="16">
        <f t="shared" si="34"/>
        <v>0</v>
      </c>
      <c r="AL72" s="16">
        <f t="shared" si="35"/>
        <v>0</v>
      </c>
      <c r="AN72" s="33">
        <v>21</v>
      </c>
      <c r="AO72" s="33">
        <f>H72*0.284740261937798</f>
        <v>0</v>
      </c>
      <c r="AP72" s="33">
        <f>H72*(1-0.284740261937798)</f>
        <v>0</v>
      </c>
      <c r="AQ72" s="27" t="s">
        <v>7</v>
      </c>
      <c r="AV72" s="33">
        <f t="shared" si="36"/>
        <v>0</v>
      </c>
      <c r="AW72" s="33">
        <f t="shared" si="37"/>
        <v>0</v>
      </c>
      <c r="AX72" s="33">
        <f t="shared" si="38"/>
        <v>0</v>
      </c>
      <c r="AY72" s="34" t="s">
        <v>946</v>
      </c>
      <c r="AZ72" s="34" t="s">
        <v>998</v>
      </c>
      <c r="BA72" s="28" t="s">
        <v>1007</v>
      </c>
      <c r="BC72" s="33">
        <f t="shared" si="39"/>
        <v>0</v>
      </c>
      <c r="BD72" s="33">
        <f t="shared" si="40"/>
        <v>0</v>
      </c>
      <c r="BE72" s="33">
        <v>0</v>
      </c>
      <c r="BF72" s="33">
        <f>76</f>
        <v>76</v>
      </c>
      <c r="BH72" s="16">
        <f t="shared" si="41"/>
        <v>0</v>
      </c>
      <c r="BI72" s="16">
        <f t="shared" si="42"/>
        <v>0</v>
      </c>
      <c r="BJ72" s="16">
        <f t="shared" si="43"/>
        <v>0</v>
      </c>
    </row>
    <row r="73" spans="1:62" ht="12.75">
      <c r="A73" s="4" t="s">
        <v>57</v>
      </c>
      <c r="B73" s="4" t="s">
        <v>326</v>
      </c>
      <c r="C73" s="107" t="s">
        <v>640</v>
      </c>
      <c r="D73" s="108"/>
      <c r="E73" s="108"/>
      <c r="F73" s="4" t="s">
        <v>900</v>
      </c>
      <c r="G73" s="16">
        <v>55</v>
      </c>
      <c r="H73" s="16">
        <v>0</v>
      </c>
      <c r="I73" s="16">
        <f t="shared" si="22"/>
        <v>0</v>
      </c>
      <c r="J73" s="16">
        <f t="shared" si="23"/>
        <v>0</v>
      </c>
      <c r="K73" s="16">
        <f t="shared" si="24"/>
        <v>0</v>
      </c>
      <c r="L73" s="27" t="s">
        <v>922</v>
      </c>
      <c r="Z73" s="33">
        <f t="shared" si="25"/>
        <v>0</v>
      </c>
      <c r="AB73" s="33">
        <f t="shared" si="26"/>
        <v>0</v>
      </c>
      <c r="AC73" s="33">
        <f t="shared" si="27"/>
        <v>0</v>
      </c>
      <c r="AD73" s="33">
        <f t="shared" si="28"/>
        <v>0</v>
      </c>
      <c r="AE73" s="33">
        <f t="shared" si="29"/>
        <v>0</v>
      </c>
      <c r="AF73" s="33">
        <f t="shared" si="30"/>
        <v>0</v>
      </c>
      <c r="AG73" s="33">
        <f t="shared" si="31"/>
        <v>0</v>
      </c>
      <c r="AH73" s="33">
        <f t="shared" si="32"/>
        <v>0</v>
      </c>
      <c r="AI73" s="28"/>
      <c r="AJ73" s="16">
        <f t="shared" si="33"/>
        <v>0</v>
      </c>
      <c r="AK73" s="16">
        <f t="shared" si="34"/>
        <v>0</v>
      </c>
      <c r="AL73" s="16">
        <f t="shared" si="35"/>
        <v>0</v>
      </c>
      <c r="AN73" s="33">
        <v>21</v>
      </c>
      <c r="AO73" s="33">
        <f>H73*0</f>
        <v>0</v>
      </c>
      <c r="AP73" s="33">
        <f>H73*(1-0)</f>
        <v>0</v>
      </c>
      <c r="AQ73" s="27" t="s">
        <v>7</v>
      </c>
      <c r="AV73" s="33">
        <f t="shared" si="36"/>
        <v>0</v>
      </c>
      <c r="AW73" s="33">
        <f t="shared" si="37"/>
        <v>0</v>
      </c>
      <c r="AX73" s="33">
        <f t="shared" si="38"/>
        <v>0</v>
      </c>
      <c r="AY73" s="34" t="s">
        <v>946</v>
      </c>
      <c r="AZ73" s="34" t="s">
        <v>998</v>
      </c>
      <c r="BA73" s="28" t="s">
        <v>1007</v>
      </c>
      <c r="BC73" s="33">
        <f t="shared" si="39"/>
        <v>0</v>
      </c>
      <c r="BD73" s="33">
        <f t="shared" si="40"/>
        <v>0</v>
      </c>
      <c r="BE73" s="33">
        <v>0</v>
      </c>
      <c r="BF73" s="33">
        <f>77</f>
        <v>77</v>
      </c>
      <c r="BH73" s="16">
        <f t="shared" si="41"/>
        <v>0</v>
      </c>
      <c r="BI73" s="16">
        <f t="shared" si="42"/>
        <v>0</v>
      </c>
      <c r="BJ73" s="16">
        <f t="shared" si="43"/>
        <v>0</v>
      </c>
    </row>
    <row r="74" spans="1:62" ht="12.75">
      <c r="A74" s="4" t="s">
        <v>58</v>
      </c>
      <c r="B74" s="4" t="s">
        <v>327</v>
      </c>
      <c r="C74" s="107" t="s">
        <v>641</v>
      </c>
      <c r="D74" s="108"/>
      <c r="E74" s="108"/>
      <c r="F74" s="4" t="s">
        <v>895</v>
      </c>
      <c r="G74" s="16">
        <v>66.584</v>
      </c>
      <c r="H74" s="16">
        <v>0</v>
      </c>
      <c r="I74" s="16">
        <f t="shared" si="22"/>
        <v>0</v>
      </c>
      <c r="J74" s="16">
        <f t="shared" si="23"/>
        <v>0</v>
      </c>
      <c r="K74" s="16">
        <f t="shared" si="24"/>
        <v>0</v>
      </c>
      <c r="L74" s="27" t="s">
        <v>922</v>
      </c>
      <c r="Z74" s="33">
        <f t="shared" si="25"/>
        <v>0</v>
      </c>
      <c r="AB74" s="33">
        <f t="shared" si="26"/>
        <v>0</v>
      </c>
      <c r="AC74" s="33">
        <f t="shared" si="27"/>
        <v>0</v>
      </c>
      <c r="AD74" s="33">
        <f t="shared" si="28"/>
        <v>0</v>
      </c>
      <c r="AE74" s="33">
        <f t="shared" si="29"/>
        <v>0</v>
      </c>
      <c r="AF74" s="33">
        <f t="shared" si="30"/>
        <v>0</v>
      </c>
      <c r="AG74" s="33">
        <f t="shared" si="31"/>
        <v>0</v>
      </c>
      <c r="AH74" s="33">
        <f t="shared" si="32"/>
        <v>0</v>
      </c>
      <c r="AI74" s="28"/>
      <c r="AJ74" s="16">
        <f t="shared" si="33"/>
        <v>0</v>
      </c>
      <c r="AK74" s="16">
        <f t="shared" si="34"/>
        <v>0</v>
      </c>
      <c r="AL74" s="16">
        <f t="shared" si="35"/>
        <v>0</v>
      </c>
      <c r="AN74" s="33">
        <v>21</v>
      </c>
      <c r="AO74" s="33">
        <f>H74*0.532862554285707</f>
        <v>0</v>
      </c>
      <c r="AP74" s="33">
        <f>H74*(1-0.532862554285707)</f>
        <v>0</v>
      </c>
      <c r="AQ74" s="27" t="s">
        <v>7</v>
      </c>
      <c r="AV74" s="33">
        <f t="shared" si="36"/>
        <v>0</v>
      </c>
      <c r="AW74" s="33">
        <f t="shared" si="37"/>
        <v>0</v>
      </c>
      <c r="AX74" s="33">
        <f t="shared" si="38"/>
        <v>0</v>
      </c>
      <c r="AY74" s="34" t="s">
        <v>946</v>
      </c>
      <c r="AZ74" s="34" t="s">
        <v>998</v>
      </c>
      <c r="BA74" s="28" t="s">
        <v>1007</v>
      </c>
      <c r="BC74" s="33">
        <f t="shared" si="39"/>
        <v>0</v>
      </c>
      <c r="BD74" s="33">
        <f t="shared" si="40"/>
        <v>0</v>
      </c>
      <c r="BE74" s="33">
        <v>0</v>
      </c>
      <c r="BF74" s="33">
        <f>78</f>
        <v>78</v>
      </c>
      <c r="BH74" s="16">
        <f t="shared" si="41"/>
        <v>0</v>
      </c>
      <c r="BI74" s="16">
        <f t="shared" si="42"/>
        <v>0</v>
      </c>
      <c r="BJ74" s="16">
        <f t="shared" si="43"/>
        <v>0</v>
      </c>
    </row>
    <row r="75" spans="1:47" ht="12.75">
      <c r="A75" s="5"/>
      <c r="B75" s="13" t="s">
        <v>66</v>
      </c>
      <c r="C75" s="109" t="s">
        <v>642</v>
      </c>
      <c r="D75" s="110"/>
      <c r="E75" s="110"/>
      <c r="F75" s="5" t="s">
        <v>6</v>
      </c>
      <c r="G75" s="5" t="s">
        <v>6</v>
      </c>
      <c r="H75" s="5" t="s">
        <v>6</v>
      </c>
      <c r="I75" s="36">
        <f>SUM(I76:I86)</f>
        <v>0</v>
      </c>
      <c r="J75" s="36">
        <f>SUM(J76:J86)</f>
        <v>0</v>
      </c>
      <c r="K75" s="36">
        <f>SUM(K76:K86)</f>
        <v>0</v>
      </c>
      <c r="L75" s="28"/>
      <c r="AI75" s="28"/>
      <c r="AS75" s="36">
        <f>SUM(AJ76:AJ86)</f>
        <v>0</v>
      </c>
      <c r="AT75" s="36">
        <f>SUM(AK76:AK86)</f>
        <v>0</v>
      </c>
      <c r="AU75" s="36">
        <f>SUM(AL76:AL86)</f>
        <v>0</v>
      </c>
    </row>
    <row r="76" spans="1:62" ht="12.75">
      <c r="A76" s="4" t="s">
        <v>59</v>
      </c>
      <c r="B76" s="4" t="s">
        <v>328</v>
      </c>
      <c r="C76" s="107" t="s">
        <v>643</v>
      </c>
      <c r="D76" s="108"/>
      <c r="E76" s="108"/>
      <c r="F76" s="4" t="s">
        <v>899</v>
      </c>
      <c r="G76" s="16">
        <v>49.6</v>
      </c>
      <c r="H76" s="16">
        <v>0</v>
      </c>
      <c r="I76" s="16">
        <f aca="true" t="shared" si="44" ref="I76:I86">G76*AO76</f>
        <v>0</v>
      </c>
      <c r="J76" s="16">
        <f aca="true" t="shared" si="45" ref="J76:J86">G76*AP76</f>
        <v>0</v>
      </c>
      <c r="K76" s="16">
        <f aca="true" t="shared" si="46" ref="K76:K86">G76*H76</f>
        <v>0</v>
      </c>
      <c r="L76" s="27" t="s">
        <v>922</v>
      </c>
      <c r="Z76" s="33">
        <f aca="true" t="shared" si="47" ref="Z76:Z86">IF(AQ76="5",BJ76,0)</f>
        <v>0</v>
      </c>
      <c r="AB76" s="33">
        <f aca="true" t="shared" si="48" ref="AB76:AB86">IF(AQ76="1",BH76,0)</f>
        <v>0</v>
      </c>
      <c r="AC76" s="33">
        <f aca="true" t="shared" si="49" ref="AC76:AC86">IF(AQ76="1",BI76,0)</f>
        <v>0</v>
      </c>
      <c r="AD76" s="33">
        <f aca="true" t="shared" si="50" ref="AD76:AD86">IF(AQ76="7",BH76,0)</f>
        <v>0</v>
      </c>
      <c r="AE76" s="33">
        <f aca="true" t="shared" si="51" ref="AE76:AE86">IF(AQ76="7",BI76,0)</f>
        <v>0</v>
      </c>
      <c r="AF76" s="33">
        <f aca="true" t="shared" si="52" ref="AF76:AF86">IF(AQ76="2",BH76,0)</f>
        <v>0</v>
      </c>
      <c r="AG76" s="33">
        <f aca="true" t="shared" si="53" ref="AG76:AG86">IF(AQ76="2",BI76,0)</f>
        <v>0</v>
      </c>
      <c r="AH76" s="33">
        <f aca="true" t="shared" si="54" ref="AH76:AH86">IF(AQ76="0",BJ76,0)</f>
        <v>0</v>
      </c>
      <c r="AI76" s="28"/>
      <c r="AJ76" s="16">
        <f aca="true" t="shared" si="55" ref="AJ76:AJ86">IF(AN76=0,K76,0)</f>
        <v>0</v>
      </c>
      <c r="AK76" s="16">
        <f aca="true" t="shared" si="56" ref="AK76:AK86">IF(AN76=15,K76,0)</f>
        <v>0</v>
      </c>
      <c r="AL76" s="16">
        <f aca="true" t="shared" si="57" ref="AL76:AL86">IF(AN76=21,K76,0)</f>
        <v>0</v>
      </c>
      <c r="AN76" s="33">
        <v>21</v>
      </c>
      <c r="AO76" s="33">
        <f>H76*0</f>
        <v>0</v>
      </c>
      <c r="AP76" s="33">
        <f>H76*(1-0)</f>
        <v>0</v>
      </c>
      <c r="AQ76" s="27" t="s">
        <v>7</v>
      </c>
      <c r="AV76" s="33">
        <f aca="true" t="shared" si="58" ref="AV76:AV86">AW76+AX76</f>
        <v>0</v>
      </c>
      <c r="AW76" s="33">
        <f aca="true" t="shared" si="59" ref="AW76:AW86">G76*AO76</f>
        <v>0</v>
      </c>
      <c r="AX76" s="33">
        <f aca="true" t="shared" si="60" ref="AX76:AX86">G76*AP76</f>
        <v>0</v>
      </c>
      <c r="AY76" s="34" t="s">
        <v>947</v>
      </c>
      <c r="AZ76" s="34" t="s">
        <v>998</v>
      </c>
      <c r="BA76" s="28" t="s">
        <v>1007</v>
      </c>
      <c r="BC76" s="33">
        <f aca="true" t="shared" si="61" ref="BC76:BC86">AW76+AX76</f>
        <v>0</v>
      </c>
      <c r="BD76" s="33">
        <f aca="true" t="shared" si="62" ref="BD76:BD86">H76/(100-BE76)*100</f>
        <v>0</v>
      </c>
      <c r="BE76" s="33">
        <v>0</v>
      </c>
      <c r="BF76" s="33">
        <f>80</f>
        <v>80</v>
      </c>
      <c r="BH76" s="16">
        <f aca="true" t="shared" si="63" ref="BH76:BH86">G76*AO76</f>
        <v>0</v>
      </c>
      <c r="BI76" s="16">
        <f aca="true" t="shared" si="64" ref="BI76:BI86">G76*AP76</f>
        <v>0</v>
      </c>
      <c r="BJ76" s="16">
        <f aca="true" t="shared" si="65" ref="BJ76:BJ86">G76*H76</f>
        <v>0</v>
      </c>
    </row>
    <row r="77" spans="1:62" ht="12.75">
      <c r="A77" s="4" t="s">
        <v>60</v>
      </c>
      <c r="B77" s="4" t="s">
        <v>329</v>
      </c>
      <c r="C77" s="107" t="s">
        <v>644</v>
      </c>
      <c r="D77" s="108"/>
      <c r="E77" s="108"/>
      <c r="F77" s="4" t="s">
        <v>899</v>
      </c>
      <c r="G77" s="16">
        <v>11</v>
      </c>
      <c r="H77" s="16">
        <v>0</v>
      </c>
      <c r="I77" s="16">
        <f t="shared" si="44"/>
        <v>0</v>
      </c>
      <c r="J77" s="16">
        <f t="shared" si="45"/>
        <v>0</v>
      </c>
      <c r="K77" s="16">
        <f t="shared" si="46"/>
        <v>0</v>
      </c>
      <c r="L77" s="27" t="s">
        <v>922</v>
      </c>
      <c r="Z77" s="33">
        <f t="shared" si="47"/>
        <v>0</v>
      </c>
      <c r="AB77" s="33">
        <f t="shared" si="48"/>
        <v>0</v>
      </c>
      <c r="AC77" s="33">
        <f t="shared" si="49"/>
        <v>0</v>
      </c>
      <c r="AD77" s="33">
        <f t="shared" si="50"/>
        <v>0</v>
      </c>
      <c r="AE77" s="33">
        <f t="shared" si="51"/>
        <v>0</v>
      </c>
      <c r="AF77" s="33">
        <f t="shared" si="52"/>
        <v>0</v>
      </c>
      <c r="AG77" s="33">
        <f t="shared" si="53"/>
        <v>0</v>
      </c>
      <c r="AH77" s="33">
        <f t="shared" si="54"/>
        <v>0</v>
      </c>
      <c r="AI77" s="28"/>
      <c r="AJ77" s="16">
        <f t="shared" si="55"/>
        <v>0</v>
      </c>
      <c r="AK77" s="16">
        <f t="shared" si="56"/>
        <v>0</v>
      </c>
      <c r="AL77" s="16">
        <f t="shared" si="57"/>
        <v>0</v>
      </c>
      <c r="AN77" s="33">
        <v>21</v>
      </c>
      <c r="AO77" s="33">
        <f>H77*0.095786350148368</f>
        <v>0</v>
      </c>
      <c r="AP77" s="33">
        <f>H77*(1-0.095786350148368)</f>
        <v>0</v>
      </c>
      <c r="AQ77" s="27" t="s">
        <v>7</v>
      </c>
      <c r="AV77" s="33">
        <f t="shared" si="58"/>
        <v>0</v>
      </c>
      <c r="AW77" s="33">
        <f t="shared" si="59"/>
        <v>0</v>
      </c>
      <c r="AX77" s="33">
        <f t="shared" si="60"/>
        <v>0</v>
      </c>
      <c r="AY77" s="34" t="s">
        <v>947</v>
      </c>
      <c r="AZ77" s="34" t="s">
        <v>998</v>
      </c>
      <c r="BA77" s="28" t="s">
        <v>1007</v>
      </c>
      <c r="BC77" s="33">
        <f t="shared" si="61"/>
        <v>0</v>
      </c>
      <c r="BD77" s="33">
        <f t="shared" si="62"/>
        <v>0</v>
      </c>
      <c r="BE77" s="33">
        <v>0</v>
      </c>
      <c r="BF77" s="33">
        <f>81</f>
        <v>81</v>
      </c>
      <c r="BH77" s="16">
        <f t="shared" si="63"/>
        <v>0</v>
      </c>
      <c r="BI77" s="16">
        <f t="shared" si="64"/>
        <v>0</v>
      </c>
      <c r="BJ77" s="16">
        <f t="shared" si="65"/>
        <v>0</v>
      </c>
    </row>
    <row r="78" spans="1:62" ht="12.75">
      <c r="A78" s="4" t="s">
        <v>61</v>
      </c>
      <c r="B78" s="4" t="s">
        <v>330</v>
      </c>
      <c r="C78" s="107" t="s">
        <v>645</v>
      </c>
      <c r="D78" s="108"/>
      <c r="E78" s="108"/>
      <c r="F78" s="4" t="s">
        <v>895</v>
      </c>
      <c r="G78" s="16">
        <v>44.25</v>
      </c>
      <c r="H78" s="16">
        <v>0</v>
      </c>
      <c r="I78" s="16">
        <f t="shared" si="44"/>
        <v>0</v>
      </c>
      <c r="J78" s="16">
        <f t="shared" si="45"/>
        <v>0</v>
      </c>
      <c r="K78" s="16">
        <f t="shared" si="46"/>
        <v>0</v>
      </c>
      <c r="L78" s="27" t="s">
        <v>922</v>
      </c>
      <c r="Z78" s="33">
        <f t="shared" si="47"/>
        <v>0</v>
      </c>
      <c r="AB78" s="33">
        <f t="shared" si="48"/>
        <v>0</v>
      </c>
      <c r="AC78" s="33">
        <f t="shared" si="49"/>
        <v>0</v>
      </c>
      <c r="AD78" s="33">
        <f t="shared" si="50"/>
        <v>0</v>
      </c>
      <c r="AE78" s="33">
        <f t="shared" si="51"/>
        <v>0</v>
      </c>
      <c r="AF78" s="33">
        <f t="shared" si="52"/>
        <v>0</v>
      </c>
      <c r="AG78" s="33">
        <f t="shared" si="53"/>
        <v>0</v>
      </c>
      <c r="AH78" s="33">
        <f t="shared" si="54"/>
        <v>0</v>
      </c>
      <c r="AI78" s="28"/>
      <c r="AJ78" s="16">
        <f t="shared" si="55"/>
        <v>0</v>
      </c>
      <c r="AK78" s="16">
        <f t="shared" si="56"/>
        <v>0</v>
      </c>
      <c r="AL78" s="16">
        <f t="shared" si="57"/>
        <v>0</v>
      </c>
      <c r="AN78" s="33">
        <v>21</v>
      </c>
      <c r="AO78" s="33">
        <f>H78*0.0958413926499033</f>
        <v>0</v>
      </c>
      <c r="AP78" s="33">
        <f>H78*(1-0.0958413926499033)</f>
        <v>0</v>
      </c>
      <c r="AQ78" s="27" t="s">
        <v>7</v>
      </c>
      <c r="AV78" s="33">
        <f t="shared" si="58"/>
        <v>0</v>
      </c>
      <c r="AW78" s="33">
        <f t="shared" si="59"/>
        <v>0</v>
      </c>
      <c r="AX78" s="33">
        <f t="shared" si="60"/>
        <v>0</v>
      </c>
      <c r="AY78" s="34" t="s">
        <v>947</v>
      </c>
      <c r="AZ78" s="34" t="s">
        <v>998</v>
      </c>
      <c r="BA78" s="28" t="s">
        <v>1007</v>
      </c>
      <c r="BC78" s="33">
        <f t="shared" si="61"/>
        <v>0</v>
      </c>
      <c r="BD78" s="33">
        <f t="shared" si="62"/>
        <v>0</v>
      </c>
      <c r="BE78" s="33">
        <v>0</v>
      </c>
      <c r="BF78" s="33">
        <f>82</f>
        <v>82</v>
      </c>
      <c r="BH78" s="16">
        <f t="shared" si="63"/>
        <v>0</v>
      </c>
      <c r="BI78" s="16">
        <f t="shared" si="64"/>
        <v>0</v>
      </c>
      <c r="BJ78" s="16">
        <f t="shared" si="65"/>
        <v>0</v>
      </c>
    </row>
    <row r="79" spans="1:62" ht="12.75">
      <c r="A79" s="4" t="s">
        <v>62</v>
      </c>
      <c r="B79" s="4" t="s">
        <v>331</v>
      </c>
      <c r="C79" s="107" t="s">
        <v>646</v>
      </c>
      <c r="D79" s="108"/>
      <c r="E79" s="108"/>
      <c r="F79" s="4" t="s">
        <v>895</v>
      </c>
      <c r="G79" s="16">
        <v>34.775</v>
      </c>
      <c r="H79" s="16">
        <v>0</v>
      </c>
      <c r="I79" s="16">
        <f t="shared" si="44"/>
        <v>0</v>
      </c>
      <c r="J79" s="16">
        <f t="shared" si="45"/>
        <v>0</v>
      </c>
      <c r="K79" s="16">
        <f t="shared" si="46"/>
        <v>0</v>
      </c>
      <c r="L79" s="27" t="s">
        <v>922</v>
      </c>
      <c r="Z79" s="33">
        <f t="shared" si="47"/>
        <v>0</v>
      </c>
      <c r="AB79" s="33">
        <f t="shared" si="48"/>
        <v>0</v>
      </c>
      <c r="AC79" s="33">
        <f t="shared" si="49"/>
        <v>0</v>
      </c>
      <c r="AD79" s="33">
        <f t="shared" si="50"/>
        <v>0</v>
      </c>
      <c r="AE79" s="33">
        <f t="shared" si="51"/>
        <v>0</v>
      </c>
      <c r="AF79" s="33">
        <f t="shared" si="52"/>
        <v>0</v>
      </c>
      <c r="AG79" s="33">
        <f t="shared" si="53"/>
        <v>0</v>
      </c>
      <c r="AH79" s="33">
        <f t="shared" si="54"/>
        <v>0</v>
      </c>
      <c r="AI79" s="28"/>
      <c r="AJ79" s="16">
        <f t="shared" si="55"/>
        <v>0</v>
      </c>
      <c r="AK79" s="16">
        <f t="shared" si="56"/>
        <v>0</v>
      </c>
      <c r="AL79" s="16">
        <f t="shared" si="57"/>
        <v>0</v>
      </c>
      <c r="AN79" s="33">
        <v>21</v>
      </c>
      <c r="AO79" s="33">
        <f>H79*0.472631578947368</f>
        <v>0</v>
      </c>
      <c r="AP79" s="33">
        <f>H79*(1-0.472631578947368)</f>
        <v>0</v>
      </c>
      <c r="AQ79" s="27" t="s">
        <v>7</v>
      </c>
      <c r="AV79" s="33">
        <f t="shared" si="58"/>
        <v>0</v>
      </c>
      <c r="AW79" s="33">
        <f t="shared" si="59"/>
        <v>0</v>
      </c>
      <c r="AX79" s="33">
        <f t="shared" si="60"/>
        <v>0</v>
      </c>
      <c r="AY79" s="34" t="s">
        <v>947</v>
      </c>
      <c r="AZ79" s="34" t="s">
        <v>998</v>
      </c>
      <c r="BA79" s="28" t="s">
        <v>1007</v>
      </c>
      <c r="BC79" s="33">
        <f t="shared" si="61"/>
        <v>0</v>
      </c>
      <c r="BD79" s="33">
        <f t="shared" si="62"/>
        <v>0</v>
      </c>
      <c r="BE79" s="33">
        <v>0</v>
      </c>
      <c r="BF79" s="33">
        <f>83</f>
        <v>83</v>
      </c>
      <c r="BH79" s="16">
        <f t="shared" si="63"/>
        <v>0</v>
      </c>
      <c r="BI79" s="16">
        <f t="shared" si="64"/>
        <v>0</v>
      </c>
      <c r="BJ79" s="16">
        <f t="shared" si="65"/>
        <v>0</v>
      </c>
    </row>
    <row r="80" spans="1:62" ht="12.75">
      <c r="A80" s="4" t="s">
        <v>63</v>
      </c>
      <c r="B80" s="4" t="s">
        <v>332</v>
      </c>
      <c r="C80" s="107" t="s">
        <v>647</v>
      </c>
      <c r="D80" s="108"/>
      <c r="E80" s="108"/>
      <c r="F80" s="4" t="s">
        <v>895</v>
      </c>
      <c r="G80" s="16">
        <v>5.04</v>
      </c>
      <c r="H80" s="16">
        <v>0</v>
      </c>
      <c r="I80" s="16">
        <f t="shared" si="44"/>
        <v>0</v>
      </c>
      <c r="J80" s="16">
        <f t="shared" si="45"/>
        <v>0</v>
      </c>
      <c r="K80" s="16">
        <f t="shared" si="46"/>
        <v>0</v>
      </c>
      <c r="L80" s="27" t="s">
        <v>922</v>
      </c>
      <c r="Z80" s="33">
        <f t="shared" si="47"/>
        <v>0</v>
      </c>
      <c r="AB80" s="33">
        <f t="shared" si="48"/>
        <v>0</v>
      </c>
      <c r="AC80" s="33">
        <f t="shared" si="49"/>
        <v>0</v>
      </c>
      <c r="AD80" s="33">
        <f t="shared" si="50"/>
        <v>0</v>
      </c>
      <c r="AE80" s="33">
        <f t="shared" si="51"/>
        <v>0</v>
      </c>
      <c r="AF80" s="33">
        <f t="shared" si="52"/>
        <v>0</v>
      </c>
      <c r="AG80" s="33">
        <f t="shared" si="53"/>
        <v>0</v>
      </c>
      <c r="AH80" s="33">
        <f t="shared" si="54"/>
        <v>0</v>
      </c>
      <c r="AI80" s="28"/>
      <c r="AJ80" s="16">
        <f t="shared" si="55"/>
        <v>0</v>
      </c>
      <c r="AK80" s="16">
        <f t="shared" si="56"/>
        <v>0</v>
      </c>
      <c r="AL80" s="16">
        <f t="shared" si="57"/>
        <v>0</v>
      </c>
      <c r="AN80" s="33">
        <v>21</v>
      </c>
      <c r="AO80" s="33">
        <f>H80*0.42116785307871</f>
        <v>0</v>
      </c>
      <c r="AP80" s="33">
        <f>H80*(1-0.42116785307871)</f>
        <v>0</v>
      </c>
      <c r="AQ80" s="27" t="s">
        <v>7</v>
      </c>
      <c r="AV80" s="33">
        <f t="shared" si="58"/>
        <v>0</v>
      </c>
      <c r="AW80" s="33">
        <f t="shared" si="59"/>
        <v>0</v>
      </c>
      <c r="AX80" s="33">
        <f t="shared" si="60"/>
        <v>0</v>
      </c>
      <c r="AY80" s="34" t="s">
        <v>947</v>
      </c>
      <c r="AZ80" s="34" t="s">
        <v>998</v>
      </c>
      <c r="BA80" s="28" t="s">
        <v>1007</v>
      </c>
      <c r="BC80" s="33">
        <f t="shared" si="61"/>
        <v>0</v>
      </c>
      <c r="BD80" s="33">
        <f t="shared" si="62"/>
        <v>0</v>
      </c>
      <c r="BE80" s="33">
        <v>0</v>
      </c>
      <c r="BF80" s="33">
        <f>84</f>
        <v>84</v>
      </c>
      <c r="BH80" s="16">
        <f t="shared" si="63"/>
        <v>0</v>
      </c>
      <c r="BI80" s="16">
        <f t="shared" si="64"/>
        <v>0</v>
      </c>
      <c r="BJ80" s="16">
        <f t="shared" si="65"/>
        <v>0</v>
      </c>
    </row>
    <row r="81" spans="1:62" ht="12.75">
      <c r="A81" s="4" t="s">
        <v>64</v>
      </c>
      <c r="B81" s="4" t="s">
        <v>333</v>
      </c>
      <c r="C81" s="107" t="s">
        <v>648</v>
      </c>
      <c r="D81" s="108"/>
      <c r="E81" s="108"/>
      <c r="F81" s="4" t="s">
        <v>895</v>
      </c>
      <c r="G81" s="16">
        <v>3.09</v>
      </c>
      <c r="H81" s="16">
        <v>0</v>
      </c>
      <c r="I81" s="16">
        <f t="shared" si="44"/>
        <v>0</v>
      </c>
      <c r="J81" s="16">
        <f t="shared" si="45"/>
        <v>0</v>
      </c>
      <c r="K81" s="16">
        <f t="shared" si="46"/>
        <v>0</v>
      </c>
      <c r="L81" s="27" t="s">
        <v>922</v>
      </c>
      <c r="Z81" s="33">
        <f t="shared" si="47"/>
        <v>0</v>
      </c>
      <c r="AB81" s="33">
        <f t="shared" si="48"/>
        <v>0</v>
      </c>
      <c r="AC81" s="33">
        <f t="shared" si="49"/>
        <v>0</v>
      </c>
      <c r="AD81" s="33">
        <f t="shared" si="50"/>
        <v>0</v>
      </c>
      <c r="AE81" s="33">
        <f t="shared" si="51"/>
        <v>0</v>
      </c>
      <c r="AF81" s="33">
        <f t="shared" si="52"/>
        <v>0</v>
      </c>
      <c r="AG81" s="33">
        <f t="shared" si="53"/>
        <v>0</v>
      </c>
      <c r="AH81" s="33">
        <f t="shared" si="54"/>
        <v>0</v>
      </c>
      <c r="AI81" s="28"/>
      <c r="AJ81" s="16">
        <f t="shared" si="55"/>
        <v>0</v>
      </c>
      <c r="AK81" s="16">
        <f t="shared" si="56"/>
        <v>0</v>
      </c>
      <c r="AL81" s="16">
        <f t="shared" si="57"/>
        <v>0</v>
      </c>
      <c r="AN81" s="33">
        <v>21</v>
      </c>
      <c r="AO81" s="33">
        <f>H81*0.622346504559271</f>
        <v>0</v>
      </c>
      <c r="AP81" s="33">
        <f>H81*(1-0.622346504559271)</f>
        <v>0</v>
      </c>
      <c r="AQ81" s="27" t="s">
        <v>7</v>
      </c>
      <c r="AV81" s="33">
        <f t="shared" si="58"/>
        <v>0</v>
      </c>
      <c r="AW81" s="33">
        <f t="shared" si="59"/>
        <v>0</v>
      </c>
      <c r="AX81" s="33">
        <f t="shared" si="60"/>
        <v>0</v>
      </c>
      <c r="AY81" s="34" t="s">
        <v>947</v>
      </c>
      <c r="AZ81" s="34" t="s">
        <v>998</v>
      </c>
      <c r="BA81" s="28" t="s">
        <v>1007</v>
      </c>
      <c r="BC81" s="33">
        <f t="shared" si="61"/>
        <v>0</v>
      </c>
      <c r="BD81" s="33">
        <f t="shared" si="62"/>
        <v>0</v>
      </c>
      <c r="BE81" s="33">
        <v>0</v>
      </c>
      <c r="BF81" s="33">
        <f>85</f>
        <v>85</v>
      </c>
      <c r="BH81" s="16">
        <f t="shared" si="63"/>
        <v>0</v>
      </c>
      <c r="BI81" s="16">
        <f t="shared" si="64"/>
        <v>0</v>
      </c>
      <c r="BJ81" s="16">
        <f t="shared" si="65"/>
        <v>0</v>
      </c>
    </row>
    <row r="82" spans="1:62" ht="12.75">
      <c r="A82" s="4" t="s">
        <v>65</v>
      </c>
      <c r="B82" s="4" t="s">
        <v>334</v>
      </c>
      <c r="C82" s="107" t="s">
        <v>649</v>
      </c>
      <c r="D82" s="108"/>
      <c r="E82" s="108"/>
      <c r="F82" s="4" t="s">
        <v>895</v>
      </c>
      <c r="G82" s="16">
        <v>11.7</v>
      </c>
      <c r="H82" s="16">
        <v>0</v>
      </c>
      <c r="I82" s="16">
        <f t="shared" si="44"/>
        <v>0</v>
      </c>
      <c r="J82" s="16">
        <f t="shared" si="45"/>
        <v>0</v>
      </c>
      <c r="K82" s="16">
        <f t="shared" si="46"/>
        <v>0</v>
      </c>
      <c r="L82" s="27" t="s">
        <v>922</v>
      </c>
      <c r="Z82" s="33">
        <f t="shared" si="47"/>
        <v>0</v>
      </c>
      <c r="AB82" s="33">
        <f t="shared" si="48"/>
        <v>0</v>
      </c>
      <c r="AC82" s="33">
        <f t="shared" si="49"/>
        <v>0</v>
      </c>
      <c r="AD82" s="33">
        <f t="shared" si="50"/>
        <v>0</v>
      </c>
      <c r="AE82" s="33">
        <f t="shared" si="51"/>
        <v>0</v>
      </c>
      <c r="AF82" s="33">
        <f t="shared" si="52"/>
        <v>0</v>
      </c>
      <c r="AG82" s="33">
        <f t="shared" si="53"/>
        <v>0</v>
      </c>
      <c r="AH82" s="33">
        <f t="shared" si="54"/>
        <v>0</v>
      </c>
      <c r="AI82" s="28"/>
      <c r="AJ82" s="16">
        <f t="shared" si="55"/>
        <v>0</v>
      </c>
      <c r="AK82" s="16">
        <f t="shared" si="56"/>
        <v>0</v>
      </c>
      <c r="AL82" s="16">
        <f t="shared" si="57"/>
        <v>0</v>
      </c>
      <c r="AN82" s="33">
        <v>21</v>
      </c>
      <c r="AO82" s="33">
        <f>H82*0.580366244995666</f>
        <v>0</v>
      </c>
      <c r="AP82" s="33">
        <f>H82*(1-0.580366244995666)</f>
        <v>0</v>
      </c>
      <c r="AQ82" s="27" t="s">
        <v>7</v>
      </c>
      <c r="AV82" s="33">
        <f t="shared" si="58"/>
        <v>0</v>
      </c>
      <c r="AW82" s="33">
        <f t="shared" si="59"/>
        <v>0</v>
      </c>
      <c r="AX82" s="33">
        <f t="shared" si="60"/>
        <v>0</v>
      </c>
      <c r="AY82" s="34" t="s">
        <v>947</v>
      </c>
      <c r="AZ82" s="34" t="s">
        <v>998</v>
      </c>
      <c r="BA82" s="28" t="s">
        <v>1007</v>
      </c>
      <c r="BC82" s="33">
        <f t="shared" si="61"/>
        <v>0</v>
      </c>
      <c r="BD82" s="33">
        <f t="shared" si="62"/>
        <v>0</v>
      </c>
      <c r="BE82" s="33">
        <v>0</v>
      </c>
      <c r="BF82" s="33">
        <f>86</f>
        <v>86</v>
      </c>
      <c r="BH82" s="16">
        <f t="shared" si="63"/>
        <v>0</v>
      </c>
      <c r="BI82" s="16">
        <f t="shared" si="64"/>
        <v>0</v>
      </c>
      <c r="BJ82" s="16">
        <f t="shared" si="65"/>
        <v>0</v>
      </c>
    </row>
    <row r="83" spans="1:62" ht="12.75">
      <c r="A83" s="4" t="s">
        <v>66</v>
      </c>
      <c r="B83" s="4" t="s">
        <v>335</v>
      </c>
      <c r="C83" s="107" t="s">
        <v>650</v>
      </c>
      <c r="D83" s="108"/>
      <c r="E83" s="108"/>
      <c r="F83" s="4" t="s">
        <v>899</v>
      </c>
      <c r="G83" s="16">
        <v>11</v>
      </c>
      <c r="H83" s="16">
        <v>0</v>
      </c>
      <c r="I83" s="16">
        <f t="shared" si="44"/>
        <v>0</v>
      </c>
      <c r="J83" s="16">
        <f t="shared" si="45"/>
        <v>0</v>
      </c>
      <c r="K83" s="16">
        <f t="shared" si="46"/>
        <v>0</v>
      </c>
      <c r="L83" s="27" t="s">
        <v>922</v>
      </c>
      <c r="Z83" s="33">
        <f t="shared" si="47"/>
        <v>0</v>
      </c>
      <c r="AB83" s="33">
        <f t="shared" si="48"/>
        <v>0</v>
      </c>
      <c r="AC83" s="33">
        <f t="shared" si="49"/>
        <v>0</v>
      </c>
      <c r="AD83" s="33">
        <f t="shared" si="50"/>
        <v>0</v>
      </c>
      <c r="AE83" s="33">
        <f t="shared" si="51"/>
        <v>0</v>
      </c>
      <c r="AF83" s="33">
        <f t="shared" si="52"/>
        <v>0</v>
      </c>
      <c r="AG83" s="33">
        <f t="shared" si="53"/>
        <v>0</v>
      </c>
      <c r="AH83" s="33">
        <f t="shared" si="54"/>
        <v>0</v>
      </c>
      <c r="AI83" s="28"/>
      <c r="AJ83" s="16">
        <f t="shared" si="55"/>
        <v>0</v>
      </c>
      <c r="AK83" s="16">
        <f t="shared" si="56"/>
        <v>0</v>
      </c>
      <c r="AL83" s="16">
        <f t="shared" si="57"/>
        <v>0</v>
      </c>
      <c r="AN83" s="33">
        <v>21</v>
      </c>
      <c r="AO83" s="33">
        <f>H83*0.465487375990762</f>
        <v>0</v>
      </c>
      <c r="AP83" s="33">
        <f>H83*(1-0.465487375990762)</f>
        <v>0</v>
      </c>
      <c r="AQ83" s="27" t="s">
        <v>7</v>
      </c>
      <c r="AV83" s="33">
        <f t="shared" si="58"/>
        <v>0</v>
      </c>
      <c r="AW83" s="33">
        <f t="shared" si="59"/>
        <v>0</v>
      </c>
      <c r="AX83" s="33">
        <f t="shared" si="60"/>
        <v>0</v>
      </c>
      <c r="AY83" s="34" t="s">
        <v>947</v>
      </c>
      <c r="AZ83" s="34" t="s">
        <v>998</v>
      </c>
      <c r="BA83" s="28" t="s">
        <v>1007</v>
      </c>
      <c r="BC83" s="33">
        <f t="shared" si="61"/>
        <v>0</v>
      </c>
      <c r="BD83" s="33">
        <f t="shared" si="62"/>
        <v>0</v>
      </c>
      <c r="BE83" s="33">
        <v>0</v>
      </c>
      <c r="BF83" s="33">
        <f>87</f>
        <v>87</v>
      </c>
      <c r="BH83" s="16">
        <f t="shared" si="63"/>
        <v>0</v>
      </c>
      <c r="BI83" s="16">
        <f t="shared" si="64"/>
        <v>0</v>
      </c>
      <c r="BJ83" s="16">
        <f t="shared" si="65"/>
        <v>0</v>
      </c>
    </row>
    <row r="84" spans="1:62" ht="12.75">
      <c r="A84" s="4" t="s">
        <v>67</v>
      </c>
      <c r="B84" s="4" t="s">
        <v>336</v>
      </c>
      <c r="C84" s="107" t="s">
        <v>651</v>
      </c>
      <c r="D84" s="108"/>
      <c r="E84" s="108"/>
      <c r="F84" s="4" t="s">
        <v>895</v>
      </c>
      <c r="G84" s="16">
        <v>23.68315</v>
      </c>
      <c r="H84" s="16">
        <v>0</v>
      </c>
      <c r="I84" s="16">
        <f t="shared" si="44"/>
        <v>0</v>
      </c>
      <c r="J84" s="16">
        <f t="shared" si="45"/>
        <v>0</v>
      </c>
      <c r="K84" s="16">
        <f t="shared" si="46"/>
        <v>0</v>
      </c>
      <c r="L84" s="27" t="s">
        <v>922</v>
      </c>
      <c r="Z84" s="33">
        <f t="shared" si="47"/>
        <v>0</v>
      </c>
      <c r="AB84" s="33">
        <f t="shared" si="48"/>
        <v>0</v>
      </c>
      <c r="AC84" s="33">
        <f t="shared" si="49"/>
        <v>0</v>
      </c>
      <c r="AD84" s="33">
        <f t="shared" si="50"/>
        <v>0</v>
      </c>
      <c r="AE84" s="33">
        <f t="shared" si="51"/>
        <v>0</v>
      </c>
      <c r="AF84" s="33">
        <f t="shared" si="52"/>
        <v>0</v>
      </c>
      <c r="AG84" s="33">
        <f t="shared" si="53"/>
        <v>0</v>
      </c>
      <c r="AH84" s="33">
        <f t="shared" si="54"/>
        <v>0</v>
      </c>
      <c r="AI84" s="28"/>
      <c r="AJ84" s="16">
        <f t="shared" si="55"/>
        <v>0</v>
      </c>
      <c r="AK84" s="16">
        <f t="shared" si="56"/>
        <v>0</v>
      </c>
      <c r="AL84" s="16">
        <f t="shared" si="57"/>
        <v>0</v>
      </c>
      <c r="AN84" s="33">
        <v>21</v>
      </c>
      <c r="AO84" s="33">
        <f>H84*0.199696866313391</f>
        <v>0</v>
      </c>
      <c r="AP84" s="33">
        <f>H84*(1-0.199696866313391)</f>
        <v>0</v>
      </c>
      <c r="AQ84" s="27" t="s">
        <v>7</v>
      </c>
      <c r="AV84" s="33">
        <f t="shared" si="58"/>
        <v>0</v>
      </c>
      <c r="AW84" s="33">
        <f t="shared" si="59"/>
        <v>0</v>
      </c>
      <c r="AX84" s="33">
        <f t="shared" si="60"/>
        <v>0</v>
      </c>
      <c r="AY84" s="34" t="s">
        <v>947</v>
      </c>
      <c r="AZ84" s="34" t="s">
        <v>998</v>
      </c>
      <c r="BA84" s="28" t="s">
        <v>1007</v>
      </c>
      <c r="BC84" s="33">
        <f t="shared" si="61"/>
        <v>0</v>
      </c>
      <c r="BD84" s="33">
        <f t="shared" si="62"/>
        <v>0</v>
      </c>
      <c r="BE84" s="33">
        <v>0</v>
      </c>
      <c r="BF84" s="33">
        <f>88</f>
        <v>88</v>
      </c>
      <c r="BH84" s="16">
        <f t="shared" si="63"/>
        <v>0</v>
      </c>
      <c r="BI84" s="16">
        <f t="shared" si="64"/>
        <v>0</v>
      </c>
      <c r="BJ84" s="16">
        <f t="shared" si="65"/>
        <v>0</v>
      </c>
    </row>
    <row r="85" spans="1:62" ht="12.75">
      <c r="A85" s="4" t="s">
        <v>68</v>
      </c>
      <c r="B85" s="4" t="s">
        <v>337</v>
      </c>
      <c r="C85" s="107" t="s">
        <v>652</v>
      </c>
      <c r="D85" s="108"/>
      <c r="E85" s="108"/>
      <c r="F85" s="4" t="s">
        <v>895</v>
      </c>
      <c r="G85" s="16">
        <v>18.865</v>
      </c>
      <c r="H85" s="16">
        <v>0</v>
      </c>
      <c r="I85" s="16">
        <f t="shared" si="44"/>
        <v>0</v>
      </c>
      <c r="J85" s="16">
        <f t="shared" si="45"/>
        <v>0</v>
      </c>
      <c r="K85" s="16">
        <f t="shared" si="46"/>
        <v>0</v>
      </c>
      <c r="L85" s="27" t="s">
        <v>922</v>
      </c>
      <c r="Z85" s="33">
        <f t="shared" si="47"/>
        <v>0</v>
      </c>
      <c r="AB85" s="33">
        <f t="shared" si="48"/>
        <v>0</v>
      </c>
      <c r="AC85" s="33">
        <f t="shared" si="49"/>
        <v>0</v>
      </c>
      <c r="AD85" s="33">
        <f t="shared" si="50"/>
        <v>0</v>
      </c>
      <c r="AE85" s="33">
        <f t="shared" si="51"/>
        <v>0</v>
      </c>
      <c r="AF85" s="33">
        <f t="shared" si="52"/>
        <v>0</v>
      </c>
      <c r="AG85" s="33">
        <f t="shared" si="53"/>
        <v>0</v>
      </c>
      <c r="AH85" s="33">
        <f t="shared" si="54"/>
        <v>0</v>
      </c>
      <c r="AI85" s="28"/>
      <c r="AJ85" s="16">
        <f t="shared" si="55"/>
        <v>0</v>
      </c>
      <c r="AK85" s="16">
        <f t="shared" si="56"/>
        <v>0</v>
      </c>
      <c r="AL85" s="16">
        <f t="shared" si="57"/>
        <v>0</v>
      </c>
      <c r="AN85" s="33">
        <v>21</v>
      </c>
      <c r="AO85" s="33">
        <f>H85*0.285591503378569</f>
        <v>0</v>
      </c>
      <c r="AP85" s="33">
        <f>H85*(1-0.285591503378569)</f>
        <v>0</v>
      </c>
      <c r="AQ85" s="27" t="s">
        <v>7</v>
      </c>
      <c r="AV85" s="33">
        <f t="shared" si="58"/>
        <v>0</v>
      </c>
      <c r="AW85" s="33">
        <f t="shared" si="59"/>
        <v>0</v>
      </c>
      <c r="AX85" s="33">
        <f t="shared" si="60"/>
        <v>0</v>
      </c>
      <c r="AY85" s="34" t="s">
        <v>947</v>
      </c>
      <c r="AZ85" s="34" t="s">
        <v>998</v>
      </c>
      <c r="BA85" s="28" t="s">
        <v>1007</v>
      </c>
      <c r="BC85" s="33">
        <f t="shared" si="61"/>
        <v>0</v>
      </c>
      <c r="BD85" s="33">
        <f t="shared" si="62"/>
        <v>0</v>
      </c>
      <c r="BE85" s="33">
        <v>0</v>
      </c>
      <c r="BF85" s="33">
        <f>89</f>
        <v>89</v>
      </c>
      <c r="BH85" s="16">
        <f t="shared" si="63"/>
        <v>0</v>
      </c>
      <c r="BI85" s="16">
        <f t="shared" si="64"/>
        <v>0</v>
      </c>
      <c r="BJ85" s="16">
        <f t="shared" si="65"/>
        <v>0</v>
      </c>
    </row>
    <row r="86" spans="1:62" ht="12.75">
      <c r="A86" s="4" t="s">
        <v>69</v>
      </c>
      <c r="B86" s="4" t="s">
        <v>338</v>
      </c>
      <c r="C86" s="107" t="s">
        <v>653</v>
      </c>
      <c r="D86" s="108"/>
      <c r="E86" s="108"/>
      <c r="F86" s="4" t="s">
        <v>895</v>
      </c>
      <c r="G86" s="16">
        <v>13.02</v>
      </c>
      <c r="H86" s="16">
        <v>0</v>
      </c>
      <c r="I86" s="16">
        <f t="shared" si="44"/>
        <v>0</v>
      </c>
      <c r="J86" s="16">
        <f t="shared" si="45"/>
        <v>0</v>
      </c>
      <c r="K86" s="16">
        <f t="shared" si="46"/>
        <v>0</v>
      </c>
      <c r="L86" s="27" t="s">
        <v>922</v>
      </c>
      <c r="Z86" s="33">
        <f t="shared" si="47"/>
        <v>0</v>
      </c>
      <c r="AB86" s="33">
        <f t="shared" si="48"/>
        <v>0</v>
      </c>
      <c r="AC86" s="33">
        <f t="shared" si="49"/>
        <v>0</v>
      </c>
      <c r="AD86" s="33">
        <f t="shared" si="50"/>
        <v>0</v>
      </c>
      <c r="AE86" s="33">
        <f t="shared" si="51"/>
        <v>0</v>
      </c>
      <c r="AF86" s="33">
        <f t="shared" si="52"/>
        <v>0</v>
      </c>
      <c r="AG86" s="33">
        <f t="shared" si="53"/>
        <v>0</v>
      </c>
      <c r="AH86" s="33">
        <f t="shared" si="54"/>
        <v>0</v>
      </c>
      <c r="AI86" s="28"/>
      <c r="AJ86" s="16">
        <f t="shared" si="55"/>
        <v>0</v>
      </c>
      <c r="AK86" s="16">
        <f t="shared" si="56"/>
        <v>0</v>
      </c>
      <c r="AL86" s="16">
        <f t="shared" si="57"/>
        <v>0</v>
      </c>
      <c r="AN86" s="33">
        <v>21</v>
      </c>
      <c r="AO86" s="33">
        <f>H86*0.648237762237762</f>
        <v>0</v>
      </c>
      <c r="AP86" s="33">
        <f>H86*(1-0.648237762237762)</f>
        <v>0</v>
      </c>
      <c r="AQ86" s="27" t="s">
        <v>7</v>
      </c>
      <c r="AV86" s="33">
        <f t="shared" si="58"/>
        <v>0</v>
      </c>
      <c r="AW86" s="33">
        <f t="shared" si="59"/>
        <v>0</v>
      </c>
      <c r="AX86" s="33">
        <f t="shared" si="60"/>
        <v>0</v>
      </c>
      <c r="AY86" s="34" t="s">
        <v>947</v>
      </c>
      <c r="AZ86" s="34" t="s">
        <v>998</v>
      </c>
      <c r="BA86" s="28" t="s">
        <v>1007</v>
      </c>
      <c r="BC86" s="33">
        <f t="shared" si="61"/>
        <v>0</v>
      </c>
      <c r="BD86" s="33">
        <f t="shared" si="62"/>
        <v>0</v>
      </c>
      <c r="BE86" s="33">
        <v>0</v>
      </c>
      <c r="BF86" s="33">
        <f>90</f>
        <v>90</v>
      </c>
      <c r="BH86" s="16">
        <f t="shared" si="63"/>
        <v>0</v>
      </c>
      <c r="BI86" s="16">
        <f t="shared" si="64"/>
        <v>0</v>
      </c>
      <c r="BJ86" s="16">
        <f t="shared" si="65"/>
        <v>0</v>
      </c>
    </row>
    <row r="87" spans="1:47" ht="12.75">
      <c r="A87" s="5"/>
      <c r="B87" s="13" t="s">
        <v>67</v>
      </c>
      <c r="C87" s="109" t="s">
        <v>654</v>
      </c>
      <c r="D87" s="110"/>
      <c r="E87" s="110"/>
      <c r="F87" s="5" t="s">
        <v>6</v>
      </c>
      <c r="G87" s="5" t="s">
        <v>6</v>
      </c>
      <c r="H87" s="5" t="s">
        <v>6</v>
      </c>
      <c r="I87" s="36">
        <f>SUM(I88:I89)</f>
        <v>0</v>
      </c>
      <c r="J87" s="36">
        <f>SUM(J88:J89)</f>
        <v>0</v>
      </c>
      <c r="K87" s="36">
        <f>SUM(K88:K89)</f>
        <v>0</v>
      </c>
      <c r="L87" s="28"/>
      <c r="AI87" s="28"/>
      <c r="AS87" s="36">
        <f>SUM(AJ88:AJ89)</f>
        <v>0</v>
      </c>
      <c r="AT87" s="36">
        <f>SUM(AK88:AK89)</f>
        <v>0</v>
      </c>
      <c r="AU87" s="36">
        <f>SUM(AL88:AL89)</f>
        <v>0</v>
      </c>
    </row>
    <row r="88" spans="1:62" ht="12.75">
      <c r="A88" s="4" t="s">
        <v>70</v>
      </c>
      <c r="B88" s="4" t="s">
        <v>339</v>
      </c>
      <c r="C88" s="107" t="s">
        <v>655</v>
      </c>
      <c r="D88" s="108"/>
      <c r="E88" s="108"/>
      <c r="F88" s="4" t="s">
        <v>895</v>
      </c>
      <c r="G88" s="16">
        <v>83.58741</v>
      </c>
      <c r="H88" s="16">
        <v>0</v>
      </c>
      <c r="I88" s="16">
        <f>G88*AO88</f>
        <v>0</v>
      </c>
      <c r="J88" s="16">
        <f>G88*AP88</f>
        <v>0</v>
      </c>
      <c r="K88" s="16">
        <f>G88*H88</f>
        <v>0</v>
      </c>
      <c r="L88" s="27" t="s">
        <v>922</v>
      </c>
      <c r="Z88" s="33">
        <f>IF(AQ88="5",BJ88,0)</f>
        <v>0</v>
      </c>
      <c r="AB88" s="33">
        <f>IF(AQ88="1",BH88,0)</f>
        <v>0</v>
      </c>
      <c r="AC88" s="33">
        <f>IF(AQ88="1",BI88,0)</f>
        <v>0</v>
      </c>
      <c r="AD88" s="33">
        <f>IF(AQ88="7",BH88,0)</f>
        <v>0</v>
      </c>
      <c r="AE88" s="33">
        <f>IF(AQ88="7",BI88,0)</f>
        <v>0</v>
      </c>
      <c r="AF88" s="33">
        <f>IF(AQ88="2",BH88,0)</f>
        <v>0</v>
      </c>
      <c r="AG88" s="33">
        <f>IF(AQ88="2",BI88,0)</f>
        <v>0</v>
      </c>
      <c r="AH88" s="33">
        <f>IF(AQ88="0",BJ88,0)</f>
        <v>0</v>
      </c>
      <c r="AI88" s="28"/>
      <c r="AJ88" s="16">
        <f>IF(AN88=0,K88,0)</f>
        <v>0</v>
      </c>
      <c r="AK88" s="16">
        <f>IF(AN88=15,K88,0)</f>
        <v>0</v>
      </c>
      <c r="AL88" s="16">
        <f>IF(AN88=21,K88,0)</f>
        <v>0</v>
      </c>
      <c r="AN88" s="33">
        <v>21</v>
      </c>
      <c r="AO88" s="33">
        <f>H88*0.438695560137719</f>
        <v>0</v>
      </c>
      <c r="AP88" s="33">
        <f>H88*(1-0.438695560137719)</f>
        <v>0</v>
      </c>
      <c r="AQ88" s="27" t="s">
        <v>7</v>
      </c>
      <c r="AV88" s="33">
        <f>AW88+AX88</f>
        <v>0</v>
      </c>
      <c r="AW88" s="33">
        <f>G88*AO88</f>
        <v>0</v>
      </c>
      <c r="AX88" s="33">
        <f>G88*AP88</f>
        <v>0</v>
      </c>
      <c r="AY88" s="34" t="s">
        <v>948</v>
      </c>
      <c r="AZ88" s="34" t="s">
        <v>998</v>
      </c>
      <c r="BA88" s="28" t="s">
        <v>1007</v>
      </c>
      <c r="BC88" s="33">
        <f>AW88+AX88</f>
        <v>0</v>
      </c>
      <c r="BD88" s="33">
        <f>H88/(100-BE88)*100</f>
        <v>0</v>
      </c>
      <c r="BE88" s="33">
        <v>0</v>
      </c>
      <c r="BF88" s="33">
        <f>92</f>
        <v>92</v>
      </c>
      <c r="BH88" s="16">
        <f>G88*AO88</f>
        <v>0</v>
      </c>
      <c r="BI88" s="16">
        <f>G88*AP88</f>
        <v>0</v>
      </c>
      <c r="BJ88" s="16">
        <f>G88*H88</f>
        <v>0</v>
      </c>
    </row>
    <row r="89" spans="1:62" ht="12.75">
      <c r="A89" s="4" t="s">
        <v>71</v>
      </c>
      <c r="B89" s="4" t="s">
        <v>340</v>
      </c>
      <c r="C89" s="107" t="s">
        <v>656</v>
      </c>
      <c r="D89" s="108"/>
      <c r="E89" s="108"/>
      <c r="F89" s="4" t="s">
        <v>898</v>
      </c>
      <c r="G89" s="16">
        <v>0.20064</v>
      </c>
      <c r="H89" s="16">
        <v>0</v>
      </c>
      <c r="I89" s="16">
        <f>G89*AO89</f>
        <v>0</v>
      </c>
      <c r="J89" s="16">
        <f>G89*AP89</f>
        <v>0</v>
      </c>
      <c r="K89" s="16">
        <f>G89*H89</f>
        <v>0</v>
      </c>
      <c r="L89" s="27" t="s">
        <v>922</v>
      </c>
      <c r="Z89" s="33">
        <f>IF(AQ89="5",BJ89,0)</f>
        <v>0</v>
      </c>
      <c r="AB89" s="33">
        <f>IF(AQ89="1",BH89,0)</f>
        <v>0</v>
      </c>
      <c r="AC89" s="33">
        <f>IF(AQ89="1",BI89,0)</f>
        <v>0</v>
      </c>
      <c r="AD89" s="33">
        <f>IF(AQ89="7",BH89,0)</f>
        <v>0</v>
      </c>
      <c r="AE89" s="33">
        <f>IF(AQ89="7",BI89,0)</f>
        <v>0</v>
      </c>
      <c r="AF89" s="33">
        <f>IF(AQ89="2",BH89,0)</f>
        <v>0</v>
      </c>
      <c r="AG89" s="33">
        <f>IF(AQ89="2",BI89,0)</f>
        <v>0</v>
      </c>
      <c r="AH89" s="33">
        <f>IF(AQ89="0",BJ89,0)</f>
        <v>0</v>
      </c>
      <c r="AI89" s="28"/>
      <c r="AJ89" s="16">
        <f>IF(AN89=0,K89,0)</f>
        <v>0</v>
      </c>
      <c r="AK89" s="16">
        <f>IF(AN89=15,K89,0)</f>
        <v>0</v>
      </c>
      <c r="AL89" s="16">
        <f>IF(AN89=21,K89,0)</f>
        <v>0</v>
      </c>
      <c r="AN89" s="33">
        <v>21</v>
      </c>
      <c r="AO89" s="33">
        <f>H89*0.808260610442984</f>
        <v>0</v>
      </c>
      <c r="AP89" s="33">
        <f>H89*(1-0.808260610442984)</f>
        <v>0</v>
      </c>
      <c r="AQ89" s="27" t="s">
        <v>7</v>
      </c>
      <c r="AV89" s="33">
        <f>AW89+AX89</f>
        <v>0</v>
      </c>
      <c r="AW89" s="33">
        <f>G89*AO89</f>
        <v>0</v>
      </c>
      <c r="AX89" s="33">
        <f>G89*AP89</f>
        <v>0</v>
      </c>
      <c r="AY89" s="34" t="s">
        <v>948</v>
      </c>
      <c r="AZ89" s="34" t="s">
        <v>998</v>
      </c>
      <c r="BA89" s="28" t="s">
        <v>1007</v>
      </c>
      <c r="BC89" s="33">
        <f>AW89+AX89</f>
        <v>0</v>
      </c>
      <c r="BD89" s="33">
        <f>H89/(100-BE89)*100</f>
        <v>0</v>
      </c>
      <c r="BE89" s="33">
        <v>0</v>
      </c>
      <c r="BF89" s="33">
        <f>93</f>
        <v>93</v>
      </c>
      <c r="BH89" s="16">
        <f>G89*AO89</f>
        <v>0</v>
      </c>
      <c r="BI89" s="16">
        <f>G89*AP89</f>
        <v>0</v>
      </c>
      <c r="BJ89" s="16">
        <f>G89*H89</f>
        <v>0</v>
      </c>
    </row>
    <row r="90" spans="1:47" ht="12.75">
      <c r="A90" s="5"/>
      <c r="B90" s="13" t="s">
        <v>68</v>
      </c>
      <c r="C90" s="109" t="s">
        <v>657</v>
      </c>
      <c r="D90" s="110"/>
      <c r="E90" s="110"/>
      <c r="F90" s="5" t="s">
        <v>6</v>
      </c>
      <c r="G90" s="5" t="s">
        <v>6</v>
      </c>
      <c r="H90" s="5" t="s">
        <v>6</v>
      </c>
      <c r="I90" s="36">
        <f>SUM(I91:I91)</f>
        <v>0</v>
      </c>
      <c r="J90" s="36">
        <f>SUM(J91:J91)</f>
        <v>0</v>
      </c>
      <c r="K90" s="36">
        <f>SUM(K91:K91)</f>
        <v>0</v>
      </c>
      <c r="L90" s="28"/>
      <c r="AI90" s="28"/>
      <c r="AS90" s="36">
        <f>SUM(AJ91:AJ91)</f>
        <v>0</v>
      </c>
      <c r="AT90" s="36">
        <f>SUM(AK91:AK91)</f>
        <v>0</v>
      </c>
      <c r="AU90" s="36">
        <f>SUM(AL91:AL91)</f>
        <v>0</v>
      </c>
    </row>
    <row r="91" spans="1:62" ht="12.75">
      <c r="A91" s="4" t="s">
        <v>72</v>
      </c>
      <c r="B91" s="4" t="s">
        <v>341</v>
      </c>
      <c r="C91" s="107" t="s">
        <v>658</v>
      </c>
      <c r="D91" s="108"/>
      <c r="E91" s="108"/>
      <c r="F91" s="4" t="s">
        <v>896</v>
      </c>
      <c r="G91" s="16">
        <v>3</v>
      </c>
      <c r="H91" s="16">
        <v>0</v>
      </c>
      <c r="I91" s="16">
        <f>G91*AO91</f>
        <v>0</v>
      </c>
      <c r="J91" s="16">
        <f>G91*AP91</f>
        <v>0</v>
      </c>
      <c r="K91" s="16">
        <f>G91*H91</f>
        <v>0</v>
      </c>
      <c r="L91" s="27" t="s">
        <v>922</v>
      </c>
      <c r="Z91" s="33">
        <f>IF(AQ91="5",BJ91,0)</f>
        <v>0</v>
      </c>
      <c r="AB91" s="33">
        <f>IF(AQ91="1",BH91,0)</f>
        <v>0</v>
      </c>
      <c r="AC91" s="33">
        <f>IF(AQ91="1",BI91,0)</f>
        <v>0</v>
      </c>
      <c r="AD91" s="33">
        <f>IF(AQ91="7",BH91,0)</f>
        <v>0</v>
      </c>
      <c r="AE91" s="33">
        <f>IF(AQ91="7",BI91,0)</f>
        <v>0</v>
      </c>
      <c r="AF91" s="33">
        <f>IF(AQ91="2",BH91,0)</f>
        <v>0</v>
      </c>
      <c r="AG91" s="33">
        <f>IF(AQ91="2",BI91,0)</f>
        <v>0</v>
      </c>
      <c r="AH91" s="33">
        <f>IF(AQ91="0",BJ91,0)</f>
        <v>0</v>
      </c>
      <c r="AI91" s="28"/>
      <c r="AJ91" s="16">
        <f>IF(AN91=0,K91,0)</f>
        <v>0</v>
      </c>
      <c r="AK91" s="16">
        <f>IF(AN91=15,K91,0)</f>
        <v>0</v>
      </c>
      <c r="AL91" s="16">
        <f>IF(AN91=21,K91,0)</f>
        <v>0</v>
      </c>
      <c r="AN91" s="33">
        <v>21</v>
      </c>
      <c r="AO91" s="33">
        <f>H91*0.554071644803229</f>
        <v>0</v>
      </c>
      <c r="AP91" s="33">
        <f>H91*(1-0.554071644803229)</f>
        <v>0</v>
      </c>
      <c r="AQ91" s="27" t="s">
        <v>7</v>
      </c>
      <c r="AV91" s="33">
        <f>AW91+AX91</f>
        <v>0</v>
      </c>
      <c r="AW91" s="33">
        <f>G91*AO91</f>
        <v>0</v>
      </c>
      <c r="AX91" s="33">
        <f>G91*AP91</f>
        <v>0</v>
      </c>
      <c r="AY91" s="34" t="s">
        <v>949</v>
      </c>
      <c r="AZ91" s="34" t="s">
        <v>998</v>
      </c>
      <c r="BA91" s="28" t="s">
        <v>1007</v>
      </c>
      <c r="BC91" s="33">
        <f>AW91+AX91</f>
        <v>0</v>
      </c>
      <c r="BD91" s="33">
        <f>H91/(100-BE91)*100</f>
        <v>0</v>
      </c>
      <c r="BE91" s="33">
        <v>0</v>
      </c>
      <c r="BF91" s="33">
        <f>95</f>
        <v>95</v>
      </c>
      <c r="BH91" s="16">
        <f>G91*AO91</f>
        <v>0</v>
      </c>
      <c r="BI91" s="16">
        <f>G91*AP91</f>
        <v>0</v>
      </c>
      <c r="BJ91" s="16">
        <f>G91*H91</f>
        <v>0</v>
      </c>
    </row>
    <row r="92" spans="1:47" ht="12.75">
      <c r="A92" s="5"/>
      <c r="B92" s="13" t="s">
        <v>342</v>
      </c>
      <c r="C92" s="109" t="s">
        <v>659</v>
      </c>
      <c r="D92" s="110"/>
      <c r="E92" s="110"/>
      <c r="F92" s="5" t="s">
        <v>6</v>
      </c>
      <c r="G92" s="5" t="s">
        <v>6</v>
      </c>
      <c r="H92" s="5" t="s">
        <v>6</v>
      </c>
      <c r="I92" s="36">
        <f>SUM(I93:I97)</f>
        <v>0</v>
      </c>
      <c r="J92" s="36">
        <f>SUM(J93:J97)</f>
        <v>0</v>
      </c>
      <c r="K92" s="36">
        <f>SUM(K93:K97)</f>
        <v>0</v>
      </c>
      <c r="L92" s="28"/>
      <c r="AI92" s="28"/>
      <c r="AS92" s="36">
        <f>SUM(AJ93:AJ97)</f>
        <v>0</v>
      </c>
      <c r="AT92" s="36">
        <f>SUM(AK93:AK97)</f>
        <v>0</v>
      </c>
      <c r="AU92" s="36">
        <f>SUM(AL93:AL97)</f>
        <v>0</v>
      </c>
    </row>
    <row r="93" spans="1:62" ht="12.75">
      <c r="A93" s="4" t="s">
        <v>73</v>
      </c>
      <c r="B93" s="4" t="s">
        <v>343</v>
      </c>
      <c r="C93" s="107" t="s">
        <v>660</v>
      </c>
      <c r="D93" s="108"/>
      <c r="E93" s="108"/>
      <c r="F93" s="4" t="s">
        <v>895</v>
      </c>
      <c r="G93" s="16">
        <v>93.19911</v>
      </c>
      <c r="H93" s="16">
        <v>0</v>
      </c>
      <c r="I93" s="16">
        <f>G93*AO93</f>
        <v>0</v>
      </c>
      <c r="J93" s="16">
        <f>G93*AP93</f>
        <v>0</v>
      </c>
      <c r="K93" s="16">
        <f>G93*H93</f>
        <v>0</v>
      </c>
      <c r="L93" s="27" t="s">
        <v>922</v>
      </c>
      <c r="Z93" s="33">
        <f>IF(AQ93="5",BJ93,0)</f>
        <v>0</v>
      </c>
      <c r="AB93" s="33">
        <f>IF(AQ93="1",BH93,0)</f>
        <v>0</v>
      </c>
      <c r="AC93" s="33">
        <f>IF(AQ93="1",BI93,0)</f>
        <v>0</v>
      </c>
      <c r="AD93" s="33">
        <f>IF(AQ93="7",BH93,0)</f>
        <v>0</v>
      </c>
      <c r="AE93" s="33">
        <f>IF(AQ93="7",BI93,0)</f>
        <v>0</v>
      </c>
      <c r="AF93" s="33">
        <f>IF(AQ93="2",BH93,0)</f>
        <v>0</v>
      </c>
      <c r="AG93" s="33">
        <f>IF(AQ93="2",BI93,0)</f>
        <v>0</v>
      </c>
      <c r="AH93" s="33">
        <f>IF(AQ93="0",BJ93,0)</f>
        <v>0</v>
      </c>
      <c r="AI93" s="28"/>
      <c r="AJ93" s="16">
        <f>IF(AN93=0,K93,0)</f>
        <v>0</v>
      </c>
      <c r="AK93" s="16">
        <f>IF(AN93=15,K93,0)</f>
        <v>0</v>
      </c>
      <c r="AL93" s="16">
        <f>IF(AN93=21,K93,0)</f>
        <v>0</v>
      </c>
      <c r="AN93" s="33">
        <v>21</v>
      </c>
      <c r="AO93" s="33">
        <f>H93*0.493468997670121</f>
        <v>0</v>
      </c>
      <c r="AP93" s="33">
        <f>H93*(1-0.493468997670121)</f>
        <v>0</v>
      </c>
      <c r="AQ93" s="27" t="s">
        <v>11</v>
      </c>
      <c r="AV93" s="33">
        <f>AW93+AX93</f>
        <v>0</v>
      </c>
      <c r="AW93" s="33">
        <f>G93*AO93</f>
        <v>0</v>
      </c>
      <c r="AX93" s="33">
        <f>G93*AP93</f>
        <v>0</v>
      </c>
      <c r="AY93" s="34" t="s">
        <v>950</v>
      </c>
      <c r="AZ93" s="34" t="s">
        <v>999</v>
      </c>
      <c r="BA93" s="28" t="s">
        <v>1007</v>
      </c>
      <c r="BC93" s="33">
        <f>AW93+AX93</f>
        <v>0</v>
      </c>
      <c r="BD93" s="33">
        <f>H93/(100-BE93)*100</f>
        <v>0</v>
      </c>
      <c r="BE93" s="33">
        <v>0</v>
      </c>
      <c r="BF93" s="33">
        <f>97</f>
        <v>97</v>
      </c>
      <c r="BH93" s="16">
        <f>G93*AO93</f>
        <v>0</v>
      </c>
      <c r="BI93" s="16">
        <f>G93*AP93</f>
        <v>0</v>
      </c>
      <c r="BJ93" s="16">
        <f>G93*H93</f>
        <v>0</v>
      </c>
    </row>
    <row r="94" spans="1:62" ht="12.75">
      <c r="A94" s="4" t="s">
        <v>74</v>
      </c>
      <c r="B94" s="4" t="s">
        <v>344</v>
      </c>
      <c r="C94" s="107" t="s">
        <v>1278</v>
      </c>
      <c r="D94" s="108"/>
      <c r="E94" s="108"/>
      <c r="F94" s="4" t="s">
        <v>895</v>
      </c>
      <c r="G94" s="16">
        <v>93.2</v>
      </c>
      <c r="H94" s="16">
        <v>0</v>
      </c>
      <c r="I94" s="16">
        <f>G94*AO94</f>
        <v>0</v>
      </c>
      <c r="J94" s="16">
        <f>G94*AP94</f>
        <v>0</v>
      </c>
      <c r="K94" s="16">
        <f>G94*H94</f>
        <v>0</v>
      </c>
      <c r="L94" s="27" t="s">
        <v>922</v>
      </c>
      <c r="Z94" s="33">
        <f>IF(AQ94="5",BJ94,0)</f>
        <v>0</v>
      </c>
      <c r="AB94" s="33">
        <f>IF(AQ94="1",BH94,0)</f>
        <v>0</v>
      </c>
      <c r="AC94" s="33">
        <f>IF(AQ94="1",BI94,0)</f>
        <v>0</v>
      </c>
      <c r="AD94" s="33">
        <f>IF(AQ94="7",BH94,0)</f>
        <v>0</v>
      </c>
      <c r="AE94" s="33">
        <f>IF(AQ94="7",BI94,0)</f>
        <v>0</v>
      </c>
      <c r="AF94" s="33">
        <f>IF(AQ94="2",BH94,0)</f>
        <v>0</v>
      </c>
      <c r="AG94" s="33">
        <f>IF(AQ94="2",BI94,0)</f>
        <v>0</v>
      </c>
      <c r="AH94" s="33">
        <f>IF(AQ94="0",BJ94,0)</f>
        <v>0</v>
      </c>
      <c r="AI94" s="28"/>
      <c r="AJ94" s="16">
        <f>IF(AN94=0,K94,0)</f>
        <v>0</v>
      </c>
      <c r="AK94" s="16">
        <f>IF(AN94=15,K94,0)</f>
        <v>0</v>
      </c>
      <c r="AL94" s="16">
        <f>IF(AN94=21,K94,0)</f>
        <v>0</v>
      </c>
      <c r="AN94" s="33">
        <v>21</v>
      </c>
      <c r="AO94" s="33">
        <f>H94*0.674599686028257</f>
        <v>0</v>
      </c>
      <c r="AP94" s="33">
        <f>H94*(1-0.674599686028257)</f>
        <v>0</v>
      </c>
      <c r="AQ94" s="27" t="s">
        <v>11</v>
      </c>
      <c r="AV94" s="33">
        <f>AW94+AX94</f>
        <v>0</v>
      </c>
      <c r="AW94" s="33">
        <f>G94*AO94</f>
        <v>0</v>
      </c>
      <c r="AX94" s="33">
        <f>G94*AP94</f>
        <v>0</v>
      </c>
      <c r="AY94" s="34" t="s">
        <v>950</v>
      </c>
      <c r="AZ94" s="34" t="s">
        <v>999</v>
      </c>
      <c r="BA94" s="28" t="s">
        <v>1007</v>
      </c>
      <c r="BC94" s="33">
        <f>AW94+AX94</f>
        <v>0</v>
      </c>
      <c r="BD94" s="33">
        <f>H94/(100-BE94)*100</f>
        <v>0</v>
      </c>
      <c r="BE94" s="33">
        <v>0</v>
      </c>
      <c r="BF94" s="33">
        <f>98</f>
        <v>98</v>
      </c>
      <c r="BH94" s="16">
        <f>G94*AO94</f>
        <v>0</v>
      </c>
      <c r="BI94" s="16">
        <f>G94*AP94</f>
        <v>0</v>
      </c>
      <c r="BJ94" s="16">
        <f>G94*H94</f>
        <v>0</v>
      </c>
    </row>
    <row r="95" spans="1:62" ht="12.75">
      <c r="A95" s="4" t="s">
        <v>75</v>
      </c>
      <c r="B95" s="4" t="s">
        <v>345</v>
      </c>
      <c r="C95" s="107" t="s">
        <v>661</v>
      </c>
      <c r="D95" s="108"/>
      <c r="E95" s="108"/>
      <c r="F95" s="4" t="s">
        <v>895</v>
      </c>
      <c r="G95" s="16">
        <v>38.54</v>
      </c>
      <c r="H95" s="16">
        <v>0</v>
      </c>
      <c r="I95" s="16">
        <f>G95*AO95</f>
        <v>0</v>
      </c>
      <c r="J95" s="16">
        <f>G95*AP95</f>
        <v>0</v>
      </c>
      <c r="K95" s="16">
        <f>G95*H95</f>
        <v>0</v>
      </c>
      <c r="L95" s="27" t="s">
        <v>922</v>
      </c>
      <c r="Z95" s="33">
        <f>IF(AQ95="5",BJ95,0)</f>
        <v>0</v>
      </c>
      <c r="AB95" s="33">
        <f>IF(AQ95="1",BH95,0)</f>
        <v>0</v>
      </c>
      <c r="AC95" s="33">
        <f>IF(AQ95="1",BI95,0)</f>
        <v>0</v>
      </c>
      <c r="AD95" s="33">
        <f>IF(AQ95="7",BH95,0)</f>
        <v>0</v>
      </c>
      <c r="AE95" s="33">
        <f>IF(AQ95="7",BI95,0)</f>
        <v>0</v>
      </c>
      <c r="AF95" s="33">
        <f>IF(AQ95="2",BH95,0)</f>
        <v>0</v>
      </c>
      <c r="AG95" s="33">
        <f>IF(AQ95="2",BI95,0)</f>
        <v>0</v>
      </c>
      <c r="AH95" s="33">
        <f>IF(AQ95="0",BJ95,0)</f>
        <v>0</v>
      </c>
      <c r="AI95" s="28"/>
      <c r="AJ95" s="16">
        <f>IF(AN95=0,K95,0)</f>
        <v>0</v>
      </c>
      <c r="AK95" s="16">
        <f>IF(AN95=15,K95,0)</f>
        <v>0</v>
      </c>
      <c r="AL95" s="16">
        <f>IF(AN95=21,K95,0)</f>
        <v>0</v>
      </c>
      <c r="AN95" s="33">
        <v>21</v>
      </c>
      <c r="AO95" s="33">
        <f>H95*0.321208043829046</f>
        <v>0</v>
      </c>
      <c r="AP95" s="33">
        <f>H95*(1-0.321208043829046)</f>
        <v>0</v>
      </c>
      <c r="AQ95" s="27" t="s">
        <v>11</v>
      </c>
      <c r="AV95" s="33">
        <f>AW95+AX95</f>
        <v>0</v>
      </c>
      <c r="AW95" s="33">
        <f>G95*AO95</f>
        <v>0</v>
      </c>
      <c r="AX95" s="33">
        <f>G95*AP95</f>
        <v>0</v>
      </c>
      <c r="AY95" s="34" t="s">
        <v>950</v>
      </c>
      <c r="AZ95" s="34" t="s">
        <v>999</v>
      </c>
      <c r="BA95" s="28" t="s">
        <v>1007</v>
      </c>
      <c r="BC95" s="33">
        <f>AW95+AX95</f>
        <v>0</v>
      </c>
      <c r="BD95" s="33">
        <f>H95/(100-BE95)*100</f>
        <v>0</v>
      </c>
      <c r="BE95" s="33">
        <v>0</v>
      </c>
      <c r="BF95" s="33">
        <f>99</f>
        <v>99</v>
      </c>
      <c r="BH95" s="16">
        <f>G95*AO95</f>
        <v>0</v>
      </c>
      <c r="BI95" s="16">
        <f>G95*AP95</f>
        <v>0</v>
      </c>
      <c r="BJ95" s="16">
        <f>G95*H95</f>
        <v>0</v>
      </c>
    </row>
    <row r="96" spans="1:62" ht="12.75">
      <c r="A96" s="4" t="s">
        <v>76</v>
      </c>
      <c r="B96" s="4" t="s">
        <v>346</v>
      </c>
      <c r="C96" s="107" t="s">
        <v>662</v>
      </c>
      <c r="D96" s="108"/>
      <c r="E96" s="108"/>
      <c r="F96" s="4" t="s">
        <v>895</v>
      </c>
      <c r="G96" s="16">
        <v>28.9</v>
      </c>
      <c r="H96" s="16">
        <v>0</v>
      </c>
      <c r="I96" s="16">
        <f>G96*AO96</f>
        <v>0</v>
      </c>
      <c r="J96" s="16">
        <f>G96*AP96</f>
        <v>0</v>
      </c>
      <c r="K96" s="16">
        <f>G96*H96</f>
        <v>0</v>
      </c>
      <c r="L96" s="27" t="s">
        <v>922</v>
      </c>
      <c r="Z96" s="33">
        <f>IF(AQ96="5",BJ96,0)</f>
        <v>0</v>
      </c>
      <c r="AB96" s="33">
        <f>IF(AQ96="1",BH96,0)</f>
        <v>0</v>
      </c>
      <c r="AC96" s="33">
        <f>IF(AQ96="1",BI96,0)</f>
        <v>0</v>
      </c>
      <c r="AD96" s="33">
        <f>IF(AQ96="7",BH96,0)</f>
        <v>0</v>
      </c>
      <c r="AE96" s="33">
        <f>IF(AQ96="7",BI96,0)</f>
        <v>0</v>
      </c>
      <c r="AF96" s="33">
        <f>IF(AQ96="2",BH96,0)</f>
        <v>0</v>
      </c>
      <c r="AG96" s="33">
        <f>IF(AQ96="2",BI96,0)</f>
        <v>0</v>
      </c>
      <c r="AH96" s="33">
        <f>IF(AQ96="0",BJ96,0)</f>
        <v>0</v>
      </c>
      <c r="AI96" s="28"/>
      <c r="AJ96" s="16">
        <f>IF(AN96=0,K96,0)</f>
        <v>0</v>
      </c>
      <c r="AK96" s="16">
        <f>IF(AN96=15,K96,0)</f>
        <v>0</v>
      </c>
      <c r="AL96" s="16">
        <f>IF(AN96=21,K96,0)</f>
        <v>0</v>
      </c>
      <c r="AN96" s="33">
        <v>21</v>
      </c>
      <c r="AO96" s="33">
        <f>H96*0.634920634920635</f>
        <v>0</v>
      </c>
      <c r="AP96" s="33">
        <f>H96*(1-0.634920634920635)</f>
        <v>0</v>
      </c>
      <c r="AQ96" s="27" t="s">
        <v>11</v>
      </c>
      <c r="AV96" s="33">
        <f>AW96+AX96</f>
        <v>0</v>
      </c>
      <c r="AW96" s="33">
        <f>G96*AO96</f>
        <v>0</v>
      </c>
      <c r="AX96" s="33">
        <f>G96*AP96</f>
        <v>0</v>
      </c>
      <c r="AY96" s="34" t="s">
        <v>950</v>
      </c>
      <c r="AZ96" s="34" t="s">
        <v>999</v>
      </c>
      <c r="BA96" s="28" t="s">
        <v>1007</v>
      </c>
      <c r="BC96" s="33">
        <f>AW96+AX96</f>
        <v>0</v>
      </c>
      <c r="BD96" s="33">
        <f>H96/(100-BE96)*100</f>
        <v>0</v>
      </c>
      <c r="BE96" s="33">
        <v>0</v>
      </c>
      <c r="BF96" s="33">
        <f>100</f>
        <v>100</v>
      </c>
      <c r="BH96" s="16">
        <f>G96*AO96</f>
        <v>0</v>
      </c>
      <c r="BI96" s="16">
        <f>G96*AP96</f>
        <v>0</v>
      </c>
      <c r="BJ96" s="16">
        <f>G96*H96</f>
        <v>0</v>
      </c>
    </row>
    <row r="97" spans="1:62" ht="12.75">
      <c r="A97" s="4" t="s">
        <v>77</v>
      </c>
      <c r="B97" s="4" t="s">
        <v>347</v>
      </c>
      <c r="C97" s="107" t="s">
        <v>663</v>
      </c>
      <c r="D97" s="108"/>
      <c r="E97" s="108"/>
      <c r="F97" s="4" t="s">
        <v>895</v>
      </c>
      <c r="G97" s="16">
        <v>12.23</v>
      </c>
      <c r="H97" s="16">
        <v>0</v>
      </c>
      <c r="I97" s="16">
        <f>G97*AO97</f>
        <v>0</v>
      </c>
      <c r="J97" s="16">
        <f>G97*AP97</f>
        <v>0</v>
      </c>
      <c r="K97" s="16">
        <f>G97*H97</f>
        <v>0</v>
      </c>
      <c r="L97" s="27" t="s">
        <v>922</v>
      </c>
      <c r="Z97" s="33">
        <f>IF(AQ97="5",BJ97,0)</f>
        <v>0</v>
      </c>
      <c r="AB97" s="33">
        <f>IF(AQ97="1",BH97,0)</f>
        <v>0</v>
      </c>
      <c r="AC97" s="33">
        <f>IF(AQ97="1",BI97,0)</f>
        <v>0</v>
      </c>
      <c r="AD97" s="33">
        <f>IF(AQ97="7",BH97,0)</f>
        <v>0</v>
      </c>
      <c r="AE97" s="33">
        <f>IF(AQ97="7",BI97,0)</f>
        <v>0</v>
      </c>
      <c r="AF97" s="33">
        <f>IF(AQ97="2",BH97,0)</f>
        <v>0</v>
      </c>
      <c r="AG97" s="33">
        <f>IF(AQ97="2",BI97,0)</f>
        <v>0</v>
      </c>
      <c r="AH97" s="33">
        <f>IF(AQ97="0",BJ97,0)</f>
        <v>0</v>
      </c>
      <c r="AI97" s="28"/>
      <c r="AJ97" s="16">
        <f>IF(AN97=0,K97,0)</f>
        <v>0</v>
      </c>
      <c r="AK97" s="16">
        <f>IF(AN97=15,K97,0)</f>
        <v>0</v>
      </c>
      <c r="AL97" s="16">
        <f>IF(AN97=21,K97,0)</f>
        <v>0</v>
      </c>
      <c r="AN97" s="33">
        <v>21</v>
      </c>
      <c r="AO97" s="33">
        <f>H97*0.60403536977492</f>
        <v>0</v>
      </c>
      <c r="AP97" s="33">
        <f>H97*(1-0.60403536977492)</f>
        <v>0</v>
      </c>
      <c r="AQ97" s="27" t="s">
        <v>11</v>
      </c>
      <c r="AV97" s="33">
        <f>AW97+AX97</f>
        <v>0</v>
      </c>
      <c r="AW97" s="33">
        <f>G97*AO97</f>
        <v>0</v>
      </c>
      <c r="AX97" s="33">
        <f>G97*AP97</f>
        <v>0</v>
      </c>
      <c r="AY97" s="34" t="s">
        <v>950</v>
      </c>
      <c r="AZ97" s="34" t="s">
        <v>999</v>
      </c>
      <c r="BA97" s="28" t="s">
        <v>1007</v>
      </c>
      <c r="BC97" s="33">
        <f>AW97+AX97</f>
        <v>0</v>
      </c>
      <c r="BD97" s="33">
        <f>H97/(100-BE97)*100</f>
        <v>0</v>
      </c>
      <c r="BE97" s="33">
        <v>0</v>
      </c>
      <c r="BF97" s="33">
        <f>101</f>
        <v>101</v>
      </c>
      <c r="BH97" s="16">
        <f>G97*AO97</f>
        <v>0</v>
      </c>
      <c r="BI97" s="16">
        <f>G97*AP97</f>
        <v>0</v>
      </c>
      <c r="BJ97" s="16">
        <f>G97*H97</f>
        <v>0</v>
      </c>
    </row>
    <row r="98" spans="1:47" ht="12.75">
      <c r="A98" s="5"/>
      <c r="B98" s="13" t="s">
        <v>348</v>
      </c>
      <c r="C98" s="109" t="s">
        <v>664</v>
      </c>
      <c r="D98" s="110"/>
      <c r="E98" s="110"/>
      <c r="F98" s="5" t="s">
        <v>6</v>
      </c>
      <c r="G98" s="5" t="s">
        <v>6</v>
      </c>
      <c r="H98" s="5" t="s">
        <v>6</v>
      </c>
      <c r="I98" s="36">
        <f>SUM(I99:I100)</f>
        <v>0</v>
      </c>
      <c r="J98" s="36">
        <f>SUM(J99:J100)</f>
        <v>0</v>
      </c>
      <c r="K98" s="36">
        <f>SUM(K99:K100)</f>
        <v>0</v>
      </c>
      <c r="L98" s="28"/>
      <c r="AI98" s="28"/>
      <c r="AS98" s="36">
        <f>SUM(AJ99:AJ100)</f>
        <v>0</v>
      </c>
      <c r="AT98" s="36">
        <f>SUM(AK99:AK100)</f>
        <v>0</v>
      </c>
      <c r="AU98" s="36">
        <f>SUM(AL99:AL100)</f>
        <v>0</v>
      </c>
    </row>
    <row r="99" spans="1:62" ht="12.75">
      <c r="A99" s="4" t="s">
        <v>78</v>
      </c>
      <c r="B99" s="4" t="s">
        <v>349</v>
      </c>
      <c r="C99" s="107" t="s">
        <v>665</v>
      </c>
      <c r="D99" s="108"/>
      <c r="E99" s="108"/>
      <c r="F99" s="4" t="s">
        <v>895</v>
      </c>
      <c r="G99" s="16">
        <v>112</v>
      </c>
      <c r="H99" s="16">
        <v>0</v>
      </c>
      <c r="I99" s="16">
        <f>G99*AO99</f>
        <v>0</v>
      </c>
      <c r="J99" s="16">
        <f>G99*AP99</f>
        <v>0</v>
      </c>
      <c r="K99" s="16">
        <f>G99*H99</f>
        <v>0</v>
      </c>
      <c r="L99" s="27" t="s">
        <v>922</v>
      </c>
      <c r="Z99" s="33">
        <f>IF(AQ99="5",BJ99,0)</f>
        <v>0</v>
      </c>
      <c r="AB99" s="33">
        <f>IF(AQ99="1",BH99,0)</f>
        <v>0</v>
      </c>
      <c r="AC99" s="33">
        <f>IF(AQ99="1",BI99,0)</f>
        <v>0</v>
      </c>
      <c r="AD99" s="33">
        <f>IF(AQ99="7",BH99,0)</f>
        <v>0</v>
      </c>
      <c r="AE99" s="33">
        <f>IF(AQ99="7",BI99,0)</f>
        <v>0</v>
      </c>
      <c r="AF99" s="33">
        <f>IF(AQ99="2",BH99,0)</f>
        <v>0</v>
      </c>
      <c r="AG99" s="33">
        <f>IF(AQ99="2",BI99,0)</f>
        <v>0</v>
      </c>
      <c r="AH99" s="33">
        <f>IF(AQ99="0",BJ99,0)</f>
        <v>0</v>
      </c>
      <c r="AI99" s="28"/>
      <c r="AJ99" s="16">
        <f>IF(AN99=0,K99,0)</f>
        <v>0</v>
      </c>
      <c r="AK99" s="16">
        <f>IF(AN99=15,K99,0)</f>
        <v>0</v>
      </c>
      <c r="AL99" s="16">
        <f>IF(AN99=21,K99,0)</f>
        <v>0</v>
      </c>
      <c r="AN99" s="33">
        <v>21</v>
      </c>
      <c r="AO99" s="33">
        <f>H99*0.0502994011976048</f>
        <v>0</v>
      </c>
      <c r="AP99" s="33">
        <f>H99*(1-0.0502994011976048)</f>
        <v>0</v>
      </c>
      <c r="AQ99" s="27" t="s">
        <v>11</v>
      </c>
      <c r="AV99" s="33">
        <f>AW99+AX99</f>
        <v>0</v>
      </c>
      <c r="AW99" s="33">
        <f>G99*AO99</f>
        <v>0</v>
      </c>
      <c r="AX99" s="33">
        <f>G99*AP99</f>
        <v>0</v>
      </c>
      <c r="AY99" s="34" t="s">
        <v>951</v>
      </c>
      <c r="AZ99" s="34" t="s">
        <v>999</v>
      </c>
      <c r="BA99" s="28" t="s">
        <v>1007</v>
      </c>
      <c r="BC99" s="33">
        <f>AW99+AX99</f>
        <v>0</v>
      </c>
      <c r="BD99" s="33">
        <f>H99/(100-BE99)*100</f>
        <v>0</v>
      </c>
      <c r="BE99" s="33">
        <v>0</v>
      </c>
      <c r="BF99" s="33">
        <f>103</f>
        <v>103</v>
      </c>
      <c r="BH99" s="16">
        <f>G99*AO99</f>
        <v>0</v>
      </c>
      <c r="BI99" s="16">
        <f>G99*AP99</f>
        <v>0</v>
      </c>
      <c r="BJ99" s="16">
        <f>G99*H99</f>
        <v>0</v>
      </c>
    </row>
    <row r="100" spans="1:62" ht="12.75">
      <c r="A100" s="6" t="s">
        <v>79</v>
      </c>
      <c r="B100" s="6" t="s">
        <v>350</v>
      </c>
      <c r="C100" s="111" t="s">
        <v>666</v>
      </c>
      <c r="D100" s="112"/>
      <c r="E100" s="112"/>
      <c r="F100" s="6" t="s">
        <v>895</v>
      </c>
      <c r="G100" s="17">
        <v>120.21935</v>
      </c>
      <c r="H100" s="17">
        <v>0</v>
      </c>
      <c r="I100" s="17">
        <f>G100*AO100</f>
        <v>0</v>
      </c>
      <c r="J100" s="17">
        <f>G100*AP100</f>
        <v>0</v>
      </c>
      <c r="K100" s="17">
        <f>G100*H100</f>
        <v>0</v>
      </c>
      <c r="L100" s="29" t="s">
        <v>922</v>
      </c>
      <c r="Z100" s="33">
        <f>IF(AQ100="5",BJ100,0)</f>
        <v>0</v>
      </c>
      <c r="AB100" s="33">
        <f>IF(AQ100="1",BH100,0)</f>
        <v>0</v>
      </c>
      <c r="AC100" s="33">
        <f>IF(AQ100="1",BI100,0)</f>
        <v>0</v>
      </c>
      <c r="AD100" s="33">
        <f>IF(AQ100="7",BH100,0)</f>
        <v>0</v>
      </c>
      <c r="AE100" s="33">
        <f>IF(AQ100="7",BI100,0)</f>
        <v>0</v>
      </c>
      <c r="AF100" s="33">
        <f>IF(AQ100="2",BH100,0)</f>
        <v>0</v>
      </c>
      <c r="AG100" s="33">
        <f>IF(AQ100="2",BI100,0)</f>
        <v>0</v>
      </c>
      <c r="AH100" s="33">
        <f>IF(AQ100="0",BJ100,0)</f>
        <v>0</v>
      </c>
      <c r="AI100" s="28"/>
      <c r="AJ100" s="17">
        <f>IF(AN100=0,K100,0)</f>
        <v>0</v>
      </c>
      <c r="AK100" s="17">
        <f>IF(AN100=15,K100,0)</f>
        <v>0</v>
      </c>
      <c r="AL100" s="17">
        <f>IF(AN100=21,K100,0)</f>
        <v>0</v>
      </c>
      <c r="AN100" s="33">
        <v>21</v>
      </c>
      <c r="AO100" s="33">
        <f>H100*1</f>
        <v>0</v>
      </c>
      <c r="AP100" s="33">
        <f>H100*(1-1)</f>
        <v>0</v>
      </c>
      <c r="AQ100" s="29" t="s">
        <v>11</v>
      </c>
      <c r="AV100" s="33">
        <f>AW100+AX100</f>
        <v>0</v>
      </c>
      <c r="AW100" s="33">
        <f>G100*AO100</f>
        <v>0</v>
      </c>
      <c r="AX100" s="33">
        <f>G100*AP100</f>
        <v>0</v>
      </c>
      <c r="AY100" s="34" t="s">
        <v>951</v>
      </c>
      <c r="AZ100" s="34" t="s">
        <v>999</v>
      </c>
      <c r="BA100" s="28" t="s">
        <v>1007</v>
      </c>
      <c r="BC100" s="33">
        <f>AW100+AX100</f>
        <v>0</v>
      </c>
      <c r="BD100" s="33">
        <f>H100/(100-BE100)*100</f>
        <v>0</v>
      </c>
      <c r="BE100" s="33">
        <v>0</v>
      </c>
      <c r="BF100" s="33">
        <f>104</f>
        <v>104</v>
      </c>
      <c r="BH100" s="17">
        <f>G100*AO100</f>
        <v>0</v>
      </c>
      <c r="BI100" s="17">
        <f>G100*AP100</f>
        <v>0</v>
      </c>
      <c r="BJ100" s="17">
        <f>G100*H100</f>
        <v>0</v>
      </c>
    </row>
    <row r="101" spans="1:47" ht="12.75">
      <c r="A101" s="5"/>
      <c r="B101" s="13" t="s">
        <v>351</v>
      </c>
      <c r="C101" s="109" t="s">
        <v>667</v>
      </c>
      <c r="D101" s="110"/>
      <c r="E101" s="110"/>
      <c r="F101" s="5" t="s">
        <v>6</v>
      </c>
      <c r="G101" s="5" t="s">
        <v>6</v>
      </c>
      <c r="H101" s="5" t="s">
        <v>6</v>
      </c>
      <c r="I101" s="36">
        <f>SUM(I102:I109)</f>
        <v>0</v>
      </c>
      <c r="J101" s="36">
        <f>SUM(J102:J109)</f>
        <v>0</v>
      </c>
      <c r="K101" s="36">
        <f>SUM(K102:K109)</f>
        <v>0</v>
      </c>
      <c r="L101" s="28"/>
      <c r="AI101" s="28"/>
      <c r="AS101" s="36">
        <f>SUM(AJ102:AJ109)</f>
        <v>0</v>
      </c>
      <c r="AT101" s="36">
        <f>SUM(AK102:AK109)</f>
        <v>0</v>
      </c>
      <c r="AU101" s="36">
        <f>SUM(AL102:AL109)</f>
        <v>0</v>
      </c>
    </row>
    <row r="102" spans="1:62" ht="12.75">
      <c r="A102" s="4" t="s">
        <v>80</v>
      </c>
      <c r="B102" s="4" t="s">
        <v>352</v>
      </c>
      <c r="C102" s="107" t="s">
        <v>668</v>
      </c>
      <c r="D102" s="108"/>
      <c r="E102" s="108"/>
      <c r="F102" s="4" t="s">
        <v>895</v>
      </c>
      <c r="G102" s="16">
        <v>112.77</v>
      </c>
      <c r="H102" s="16">
        <v>0</v>
      </c>
      <c r="I102" s="16">
        <f aca="true" t="shared" si="66" ref="I102:I109">G102*AO102</f>
        <v>0</v>
      </c>
      <c r="J102" s="16">
        <f aca="true" t="shared" si="67" ref="J102:J109">G102*AP102</f>
        <v>0</v>
      </c>
      <c r="K102" s="16">
        <f aca="true" t="shared" si="68" ref="K102:K109">G102*H102</f>
        <v>0</v>
      </c>
      <c r="L102" s="27" t="s">
        <v>922</v>
      </c>
      <c r="Z102" s="33">
        <f aca="true" t="shared" si="69" ref="Z102:Z109">IF(AQ102="5",BJ102,0)</f>
        <v>0</v>
      </c>
      <c r="AB102" s="33">
        <f aca="true" t="shared" si="70" ref="AB102:AB109">IF(AQ102="1",BH102,0)</f>
        <v>0</v>
      </c>
      <c r="AC102" s="33">
        <f aca="true" t="shared" si="71" ref="AC102:AC109">IF(AQ102="1",BI102,0)</f>
        <v>0</v>
      </c>
      <c r="AD102" s="33">
        <f aca="true" t="shared" si="72" ref="AD102:AD109">IF(AQ102="7",BH102,0)</f>
        <v>0</v>
      </c>
      <c r="AE102" s="33">
        <f aca="true" t="shared" si="73" ref="AE102:AE109">IF(AQ102="7",BI102,0)</f>
        <v>0</v>
      </c>
      <c r="AF102" s="33">
        <f aca="true" t="shared" si="74" ref="AF102:AF109">IF(AQ102="2",BH102,0)</f>
        <v>0</v>
      </c>
      <c r="AG102" s="33">
        <f aca="true" t="shared" si="75" ref="AG102:AG109">IF(AQ102="2",BI102,0)</f>
        <v>0</v>
      </c>
      <c r="AH102" s="33">
        <f aca="true" t="shared" si="76" ref="AH102:AH109">IF(AQ102="0",BJ102,0)</f>
        <v>0</v>
      </c>
      <c r="AI102" s="28"/>
      <c r="AJ102" s="16">
        <f aca="true" t="shared" si="77" ref="AJ102:AJ109">IF(AN102=0,K102,0)</f>
        <v>0</v>
      </c>
      <c r="AK102" s="16">
        <f aca="true" t="shared" si="78" ref="AK102:AK109">IF(AN102=15,K102,0)</f>
        <v>0</v>
      </c>
      <c r="AL102" s="16">
        <f aca="true" t="shared" si="79" ref="AL102:AL109">IF(AN102=21,K102,0)</f>
        <v>0</v>
      </c>
      <c r="AN102" s="33">
        <v>21</v>
      </c>
      <c r="AO102" s="33">
        <f>H102*0.47046371896156</f>
        <v>0</v>
      </c>
      <c r="AP102" s="33">
        <f>H102*(1-0.47046371896156)</f>
        <v>0</v>
      </c>
      <c r="AQ102" s="27" t="s">
        <v>11</v>
      </c>
      <c r="AV102" s="33">
        <f aca="true" t="shared" si="80" ref="AV102:AV109">AW102+AX102</f>
        <v>0</v>
      </c>
      <c r="AW102" s="33">
        <f aca="true" t="shared" si="81" ref="AW102:AW109">G102*AO102</f>
        <v>0</v>
      </c>
      <c r="AX102" s="33">
        <f aca="true" t="shared" si="82" ref="AX102:AX109">G102*AP102</f>
        <v>0</v>
      </c>
      <c r="AY102" s="34" t="s">
        <v>952</v>
      </c>
      <c r="AZ102" s="34" t="s">
        <v>999</v>
      </c>
      <c r="BA102" s="28" t="s">
        <v>1007</v>
      </c>
      <c r="BC102" s="33">
        <f aca="true" t="shared" si="83" ref="BC102:BC109">AW102+AX102</f>
        <v>0</v>
      </c>
      <c r="BD102" s="33">
        <f aca="true" t="shared" si="84" ref="BD102:BD109">H102/(100-BE102)*100</f>
        <v>0</v>
      </c>
      <c r="BE102" s="33">
        <v>0</v>
      </c>
      <c r="BF102" s="33">
        <f>106</f>
        <v>106</v>
      </c>
      <c r="BH102" s="16">
        <f aca="true" t="shared" si="85" ref="BH102:BH109">G102*AO102</f>
        <v>0</v>
      </c>
      <c r="BI102" s="16">
        <f aca="true" t="shared" si="86" ref="BI102:BI109">G102*AP102</f>
        <v>0</v>
      </c>
      <c r="BJ102" s="16">
        <f aca="true" t="shared" si="87" ref="BJ102:BJ109">G102*H102</f>
        <v>0</v>
      </c>
    </row>
    <row r="103" spans="1:62" ht="12.75">
      <c r="A103" s="6" t="s">
        <v>81</v>
      </c>
      <c r="B103" s="6" t="s">
        <v>353</v>
      </c>
      <c r="C103" s="111" t="s">
        <v>1279</v>
      </c>
      <c r="D103" s="112"/>
      <c r="E103" s="112"/>
      <c r="F103" s="6" t="s">
        <v>897</v>
      </c>
      <c r="G103" s="17">
        <v>16.8</v>
      </c>
      <c r="H103" s="17">
        <v>0</v>
      </c>
      <c r="I103" s="17">
        <f t="shared" si="66"/>
        <v>0</v>
      </c>
      <c r="J103" s="17">
        <f t="shared" si="67"/>
        <v>0</v>
      </c>
      <c r="K103" s="17">
        <f t="shared" si="68"/>
        <v>0</v>
      </c>
      <c r="L103" s="29" t="s">
        <v>922</v>
      </c>
      <c r="Z103" s="33">
        <f t="shared" si="69"/>
        <v>0</v>
      </c>
      <c r="AB103" s="33">
        <f t="shared" si="70"/>
        <v>0</v>
      </c>
      <c r="AC103" s="33">
        <f t="shared" si="71"/>
        <v>0</v>
      </c>
      <c r="AD103" s="33">
        <f t="shared" si="72"/>
        <v>0</v>
      </c>
      <c r="AE103" s="33">
        <f t="shared" si="73"/>
        <v>0</v>
      </c>
      <c r="AF103" s="33">
        <f t="shared" si="74"/>
        <v>0</v>
      </c>
      <c r="AG103" s="33">
        <f t="shared" si="75"/>
        <v>0</v>
      </c>
      <c r="AH103" s="33">
        <f t="shared" si="76"/>
        <v>0</v>
      </c>
      <c r="AI103" s="28"/>
      <c r="AJ103" s="17">
        <f t="shared" si="77"/>
        <v>0</v>
      </c>
      <c r="AK103" s="17">
        <f t="shared" si="78"/>
        <v>0</v>
      </c>
      <c r="AL103" s="17">
        <f t="shared" si="79"/>
        <v>0</v>
      </c>
      <c r="AN103" s="33">
        <v>21</v>
      </c>
      <c r="AO103" s="33">
        <f>H103*1</f>
        <v>0</v>
      </c>
      <c r="AP103" s="33">
        <f>H103*(1-1)</f>
        <v>0</v>
      </c>
      <c r="AQ103" s="29" t="s">
        <v>11</v>
      </c>
      <c r="AV103" s="33">
        <f t="shared" si="80"/>
        <v>0</v>
      </c>
      <c r="AW103" s="33">
        <f t="shared" si="81"/>
        <v>0</v>
      </c>
      <c r="AX103" s="33">
        <f t="shared" si="82"/>
        <v>0</v>
      </c>
      <c r="AY103" s="34" t="s">
        <v>952</v>
      </c>
      <c r="AZ103" s="34" t="s">
        <v>999</v>
      </c>
      <c r="BA103" s="28" t="s">
        <v>1007</v>
      </c>
      <c r="BC103" s="33">
        <f t="shared" si="83"/>
        <v>0</v>
      </c>
      <c r="BD103" s="33">
        <f t="shared" si="84"/>
        <v>0</v>
      </c>
      <c r="BE103" s="33">
        <v>0</v>
      </c>
      <c r="BF103" s="33">
        <f>107</f>
        <v>107</v>
      </c>
      <c r="BH103" s="17">
        <f t="shared" si="85"/>
        <v>0</v>
      </c>
      <c r="BI103" s="17">
        <f t="shared" si="86"/>
        <v>0</v>
      </c>
      <c r="BJ103" s="17">
        <f t="shared" si="87"/>
        <v>0</v>
      </c>
    </row>
    <row r="104" spans="1:62" ht="12.75">
      <c r="A104" s="6" t="s">
        <v>82</v>
      </c>
      <c r="B104" s="6" t="s">
        <v>354</v>
      </c>
      <c r="C104" s="111" t="s">
        <v>1280</v>
      </c>
      <c r="D104" s="112"/>
      <c r="E104" s="112"/>
      <c r="F104" s="6" t="s">
        <v>897</v>
      </c>
      <c r="G104" s="17">
        <v>16.8</v>
      </c>
      <c r="H104" s="17">
        <v>0</v>
      </c>
      <c r="I104" s="17">
        <f t="shared" si="66"/>
        <v>0</v>
      </c>
      <c r="J104" s="17">
        <f t="shared" si="67"/>
        <v>0</v>
      </c>
      <c r="K104" s="17">
        <f t="shared" si="68"/>
        <v>0</v>
      </c>
      <c r="L104" s="29" t="s">
        <v>922</v>
      </c>
      <c r="Z104" s="33">
        <f t="shared" si="69"/>
        <v>0</v>
      </c>
      <c r="AB104" s="33">
        <f t="shared" si="70"/>
        <v>0</v>
      </c>
      <c r="AC104" s="33">
        <f t="shared" si="71"/>
        <v>0</v>
      </c>
      <c r="AD104" s="33">
        <f t="shared" si="72"/>
        <v>0</v>
      </c>
      <c r="AE104" s="33">
        <f t="shared" si="73"/>
        <v>0</v>
      </c>
      <c r="AF104" s="33">
        <f t="shared" si="74"/>
        <v>0</v>
      </c>
      <c r="AG104" s="33">
        <f t="shared" si="75"/>
        <v>0</v>
      </c>
      <c r="AH104" s="33">
        <f t="shared" si="76"/>
        <v>0</v>
      </c>
      <c r="AI104" s="28"/>
      <c r="AJ104" s="17">
        <f t="shared" si="77"/>
        <v>0</v>
      </c>
      <c r="AK104" s="17">
        <f t="shared" si="78"/>
        <v>0</v>
      </c>
      <c r="AL104" s="17">
        <f t="shared" si="79"/>
        <v>0</v>
      </c>
      <c r="AN104" s="33">
        <v>21</v>
      </c>
      <c r="AO104" s="33">
        <f>H104*1</f>
        <v>0</v>
      </c>
      <c r="AP104" s="33">
        <f>H104*(1-1)</f>
        <v>0</v>
      </c>
      <c r="AQ104" s="29" t="s">
        <v>11</v>
      </c>
      <c r="AV104" s="33">
        <f t="shared" si="80"/>
        <v>0</v>
      </c>
      <c r="AW104" s="33">
        <f t="shared" si="81"/>
        <v>0</v>
      </c>
      <c r="AX104" s="33">
        <f t="shared" si="82"/>
        <v>0</v>
      </c>
      <c r="AY104" s="34" t="s">
        <v>952</v>
      </c>
      <c r="AZ104" s="34" t="s">
        <v>999</v>
      </c>
      <c r="BA104" s="28" t="s">
        <v>1007</v>
      </c>
      <c r="BC104" s="33">
        <f t="shared" si="83"/>
        <v>0</v>
      </c>
      <c r="BD104" s="33">
        <f t="shared" si="84"/>
        <v>0</v>
      </c>
      <c r="BE104" s="33">
        <v>0</v>
      </c>
      <c r="BF104" s="33">
        <f>108</f>
        <v>108</v>
      </c>
      <c r="BH104" s="17">
        <f t="shared" si="85"/>
        <v>0</v>
      </c>
      <c r="BI104" s="17">
        <f t="shared" si="86"/>
        <v>0</v>
      </c>
      <c r="BJ104" s="17">
        <f t="shared" si="87"/>
        <v>0</v>
      </c>
    </row>
    <row r="105" spans="1:62" ht="12.75">
      <c r="A105" s="4" t="s">
        <v>83</v>
      </c>
      <c r="B105" s="4" t="s">
        <v>355</v>
      </c>
      <c r="C105" s="107" t="s">
        <v>669</v>
      </c>
      <c r="D105" s="108"/>
      <c r="E105" s="108"/>
      <c r="F105" s="4" t="s">
        <v>895</v>
      </c>
      <c r="G105" s="16">
        <v>49</v>
      </c>
      <c r="H105" s="16">
        <v>0</v>
      </c>
      <c r="I105" s="16">
        <f t="shared" si="66"/>
        <v>0</v>
      </c>
      <c r="J105" s="16">
        <f t="shared" si="67"/>
        <v>0</v>
      </c>
      <c r="K105" s="16">
        <f t="shared" si="68"/>
        <v>0</v>
      </c>
      <c r="L105" s="27" t="s">
        <v>922</v>
      </c>
      <c r="Z105" s="33">
        <f t="shared" si="69"/>
        <v>0</v>
      </c>
      <c r="AB105" s="33">
        <f t="shared" si="70"/>
        <v>0</v>
      </c>
      <c r="AC105" s="33">
        <f t="shared" si="71"/>
        <v>0</v>
      </c>
      <c r="AD105" s="33">
        <f t="shared" si="72"/>
        <v>0</v>
      </c>
      <c r="AE105" s="33">
        <f t="shared" si="73"/>
        <v>0</v>
      </c>
      <c r="AF105" s="33">
        <f t="shared" si="74"/>
        <v>0</v>
      </c>
      <c r="AG105" s="33">
        <f t="shared" si="75"/>
        <v>0</v>
      </c>
      <c r="AH105" s="33">
        <f t="shared" si="76"/>
        <v>0</v>
      </c>
      <c r="AI105" s="28"/>
      <c r="AJ105" s="16">
        <f t="shared" si="77"/>
        <v>0</v>
      </c>
      <c r="AK105" s="16">
        <f t="shared" si="78"/>
        <v>0</v>
      </c>
      <c r="AL105" s="16">
        <f t="shared" si="79"/>
        <v>0</v>
      </c>
      <c r="AN105" s="33">
        <v>21</v>
      </c>
      <c r="AO105" s="33">
        <f>H105*0</f>
        <v>0</v>
      </c>
      <c r="AP105" s="33">
        <f>H105*(1-0)</f>
        <v>0</v>
      </c>
      <c r="AQ105" s="27" t="s">
        <v>11</v>
      </c>
      <c r="AV105" s="33">
        <f t="shared" si="80"/>
        <v>0</v>
      </c>
      <c r="AW105" s="33">
        <f t="shared" si="81"/>
        <v>0</v>
      </c>
      <c r="AX105" s="33">
        <f t="shared" si="82"/>
        <v>0</v>
      </c>
      <c r="AY105" s="34" t="s">
        <v>952</v>
      </c>
      <c r="AZ105" s="34" t="s">
        <v>999</v>
      </c>
      <c r="BA105" s="28" t="s">
        <v>1007</v>
      </c>
      <c r="BC105" s="33">
        <f t="shared" si="83"/>
        <v>0</v>
      </c>
      <c r="BD105" s="33">
        <f t="shared" si="84"/>
        <v>0</v>
      </c>
      <c r="BE105" s="33">
        <v>0</v>
      </c>
      <c r="BF105" s="33">
        <f>109</f>
        <v>109</v>
      </c>
      <c r="BH105" s="16">
        <f t="shared" si="85"/>
        <v>0</v>
      </c>
      <c r="BI105" s="16">
        <f t="shared" si="86"/>
        <v>0</v>
      </c>
      <c r="BJ105" s="16">
        <f t="shared" si="87"/>
        <v>0</v>
      </c>
    </row>
    <row r="106" spans="1:62" ht="12.75">
      <c r="A106" s="4" t="s">
        <v>84</v>
      </c>
      <c r="B106" s="4" t="s">
        <v>356</v>
      </c>
      <c r="C106" s="107" t="s">
        <v>670</v>
      </c>
      <c r="D106" s="108"/>
      <c r="E106" s="108"/>
      <c r="F106" s="4" t="s">
        <v>895</v>
      </c>
      <c r="G106" s="16">
        <v>81.3</v>
      </c>
      <c r="H106" s="16">
        <v>0</v>
      </c>
      <c r="I106" s="16">
        <f t="shared" si="66"/>
        <v>0</v>
      </c>
      <c r="J106" s="16">
        <f t="shared" si="67"/>
        <v>0</v>
      </c>
      <c r="K106" s="16">
        <f t="shared" si="68"/>
        <v>0</v>
      </c>
      <c r="L106" s="27" t="s">
        <v>922</v>
      </c>
      <c r="Z106" s="33">
        <f t="shared" si="69"/>
        <v>0</v>
      </c>
      <c r="AB106" s="33">
        <f t="shared" si="70"/>
        <v>0</v>
      </c>
      <c r="AC106" s="33">
        <f t="shared" si="71"/>
        <v>0</v>
      </c>
      <c r="AD106" s="33">
        <f t="shared" si="72"/>
        <v>0</v>
      </c>
      <c r="AE106" s="33">
        <f t="shared" si="73"/>
        <v>0</v>
      </c>
      <c r="AF106" s="33">
        <f t="shared" si="74"/>
        <v>0</v>
      </c>
      <c r="AG106" s="33">
        <f t="shared" si="75"/>
        <v>0</v>
      </c>
      <c r="AH106" s="33">
        <f t="shared" si="76"/>
        <v>0</v>
      </c>
      <c r="AI106" s="28"/>
      <c r="AJ106" s="16">
        <f t="shared" si="77"/>
        <v>0</v>
      </c>
      <c r="AK106" s="16">
        <f t="shared" si="78"/>
        <v>0</v>
      </c>
      <c r="AL106" s="16">
        <f t="shared" si="79"/>
        <v>0</v>
      </c>
      <c r="AN106" s="33">
        <v>21</v>
      </c>
      <c r="AO106" s="33">
        <f>H106*0</f>
        <v>0</v>
      </c>
      <c r="AP106" s="33">
        <f>H106*(1-0)</f>
        <v>0</v>
      </c>
      <c r="AQ106" s="27" t="s">
        <v>11</v>
      </c>
      <c r="AV106" s="33">
        <f t="shared" si="80"/>
        <v>0</v>
      </c>
      <c r="AW106" s="33">
        <f t="shared" si="81"/>
        <v>0</v>
      </c>
      <c r="AX106" s="33">
        <f t="shared" si="82"/>
        <v>0</v>
      </c>
      <c r="AY106" s="34" t="s">
        <v>952</v>
      </c>
      <c r="AZ106" s="34" t="s">
        <v>999</v>
      </c>
      <c r="BA106" s="28" t="s">
        <v>1007</v>
      </c>
      <c r="BC106" s="33">
        <f t="shared" si="83"/>
        <v>0</v>
      </c>
      <c r="BD106" s="33">
        <f t="shared" si="84"/>
        <v>0</v>
      </c>
      <c r="BE106" s="33">
        <v>0</v>
      </c>
      <c r="BF106" s="33">
        <f>110</f>
        <v>110</v>
      </c>
      <c r="BH106" s="16">
        <f t="shared" si="85"/>
        <v>0</v>
      </c>
      <c r="BI106" s="16">
        <f t="shared" si="86"/>
        <v>0</v>
      </c>
      <c r="BJ106" s="16">
        <f t="shared" si="87"/>
        <v>0</v>
      </c>
    </row>
    <row r="107" spans="1:62" ht="12.75">
      <c r="A107" s="6" t="s">
        <v>85</v>
      </c>
      <c r="B107" s="6" t="s">
        <v>357</v>
      </c>
      <c r="C107" s="111" t="s">
        <v>671</v>
      </c>
      <c r="D107" s="112"/>
      <c r="E107" s="112"/>
      <c r="F107" s="6" t="s">
        <v>897</v>
      </c>
      <c r="G107" s="17">
        <v>11.9511</v>
      </c>
      <c r="H107" s="17">
        <v>0</v>
      </c>
      <c r="I107" s="17">
        <f t="shared" si="66"/>
        <v>0</v>
      </c>
      <c r="J107" s="17">
        <f t="shared" si="67"/>
        <v>0</v>
      </c>
      <c r="K107" s="17">
        <f t="shared" si="68"/>
        <v>0</v>
      </c>
      <c r="L107" s="29" t="s">
        <v>922</v>
      </c>
      <c r="Z107" s="33">
        <f t="shared" si="69"/>
        <v>0</v>
      </c>
      <c r="AB107" s="33">
        <f t="shared" si="70"/>
        <v>0</v>
      </c>
      <c r="AC107" s="33">
        <f t="shared" si="71"/>
        <v>0</v>
      </c>
      <c r="AD107" s="33">
        <f t="shared" si="72"/>
        <v>0</v>
      </c>
      <c r="AE107" s="33">
        <f t="shared" si="73"/>
        <v>0</v>
      </c>
      <c r="AF107" s="33">
        <f t="shared" si="74"/>
        <v>0</v>
      </c>
      <c r="AG107" s="33">
        <f t="shared" si="75"/>
        <v>0</v>
      </c>
      <c r="AH107" s="33">
        <f t="shared" si="76"/>
        <v>0</v>
      </c>
      <c r="AI107" s="28"/>
      <c r="AJ107" s="17">
        <f t="shared" si="77"/>
        <v>0</v>
      </c>
      <c r="AK107" s="17">
        <f t="shared" si="78"/>
        <v>0</v>
      </c>
      <c r="AL107" s="17">
        <f t="shared" si="79"/>
        <v>0</v>
      </c>
      <c r="AN107" s="33">
        <v>21</v>
      </c>
      <c r="AO107" s="33">
        <f>H107*1</f>
        <v>0</v>
      </c>
      <c r="AP107" s="33">
        <f>H107*(1-1)</f>
        <v>0</v>
      </c>
      <c r="AQ107" s="29" t="s">
        <v>11</v>
      </c>
      <c r="AV107" s="33">
        <f t="shared" si="80"/>
        <v>0</v>
      </c>
      <c r="AW107" s="33">
        <f t="shared" si="81"/>
        <v>0</v>
      </c>
      <c r="AX107" s="33">
        <f t="shared" si="82"/>
        <v>0</v>
      </c>
      <c r="AY107" s="34" t="s">
        <v>952</v>
      </c>
      <c r="AZ107" s="34" t="s">
        <v>999</v>
      </c>
      <c r="BA107" s="28" t="s">
        <v>1007</v>
      </c>
      <c r="BC107" s="33">
        <f t="shared" si="83"/>
        <v>0</v>
      </c>
      <c r="BD107" s="33">
        <f t="shared" si="84"/>
        <v>0</v>
      </c>
      <c r="BE107" s="33">
        <v>0</v>
      </c>
      <c r="BF107" s="33">
        <f>111</f>
        <v>111</v>
      </c>
      <c r="BH107" s="17">
        <f t="shared" si="85"/>
        <v>0</v>
      </c>
      <c r="BI107" s="17">
        <f t="shared" si="86"/>
        <v>0</v>
      </c>
      <c r="BJ107" s="17">
        <f t="shared" si="87"/>
        <v>0</v>
      </c>
    </row>
    <row r="108" spans="1:62" ht="12.75">
      <c r="A108" s="4" t="s">
        <v>86</v>
      </c>
      <c r="B108" s="4" t="s">
        <v>358</v>
      </c>
      <c r="C108" s="107" t="s">
        <v>672</v>
      </c>
      <c r="D108" s="108"/>
      <c r="E108" s="108"/>
      <c r="F108" s="4" t="s">
        <v>895</v>
      </c>
      <c r="G108" s="16">
        <v>2.5902</v>
      </c>
      <c r="H108" s="16">
        <v>0</v>
      </c>
      <c r="I108" s="16">
        <f t="shared" si="66"/>
        <v>0</v>
      </c>
      <c r="J108" s="16">
        <f t="shared" si="67"/>
        <v>0</v>
      </c>
      <c r="K108" s="16">
        <f t="shared" si="68"/>
        <v>0</v>
      </c>
      <c r="L108" s="27" t="s">
        <v>922</v>
      </c>
      <c r="Z108" s="33">
        <f t="shared" si="69"/>
        <v>0</v>
      </c>
      <c r="AB108" s="33">
        <f t="shared" si="70"/>
        <v>0</v>
      </c>
      <c r="AC108" s="33">
        <f t="shared" si="71"/>
        <v>0</v>
      </c>
      <c r="AD108" s="33">
        <f t="shared" si="72"/>
        <v>0</v>
      </c>
      <c r="AE108" s="33">
        <f t="shared" si="73"/>
        <v>0</v>
      </c>
      <c r="AF108" s="33">
        <f t="shared" si="74"/>
        <v>0</v>
      </c>
      <c r="AG108" s="33">
        <f t="shared" si="75"/>
        <v>0</v>
      </c>
      <c r="AH108" s="33">
        <f t="shared" si="76"/>
        <v>0</v>
      </c>
      <c r="AI108" s="28"/>
      <c r="AJ108" s="16">
        <f t="shared" si="77"/>
        <v>0</v>
      </c>
      <c r="AK108" s="16">
        <f t="shared" si="78"/>
        <v>0</v>
      </c>
      <c r="AL108" s="16">
        <f t="shared" si="79"/>
        <v>0</v>
      </c>
      <c r="AN108" s="33">
        <v>21</v>
      </c>
      <c r="AO108" s="33">
        <f>H108*0.668322042110909</f>
        <v>0</v>
      </c>
      <c r="AP108" s="33">
        <f>H108*(1-0.668322042110909)</f>
        <v>0</v>
      </c>
      <c r="AQ108" s="27" t="s">
        <v>11</v>
      </c>
      <c r="AV108" s="33">
        <f t="shared" si="80"/>
        <v>0</v>
      </c>
      <c r="AW108" s="33">
        <f t="shared" si="81"/>
        <v>0</v>
      </c>
      <c r="AX108" s="33">
        <f t="shared" si="82"/>
        <v>0</v>
      </c>
      <c r="AY108" s="34" t="s">
        <v>952</v>
      </c>
      <c r="AZ108" s="34" t="s">
        <v>999</v>
      </c>
      <c r="BA108" s="28" t="s">
        <v>1007</v>
      </c>
      <c r="BC108" s="33">
        <f t="shared" si="83"/>
        <v>0</v>
      </c>
      <c r="BD108" s="33">
        <f t="shared" si="84"/>
        <v>0</v>
      </c>
      <c r="BE108" s="33">
        <v>0</v>
      </c>
      <c r="BF108" s="33">
        <f>112</f>
        <v>112</v>
      </c>
      <c r="BH108" s="16">
        <f t="shared" si="85"/>
        <v>0</v>
      </c>
      <c r="BI108" s="16">
        <f t="shared" si="86"/>
        <v>0</v>
      </c>
      <c r="BJ108" s="16">
        <f t="shared" si="87"/>
        <v>0</v>
      </c>
    </row>
    <row r="109" spans="1:62" ht="12.75">
      <c r="A109" s="6" t="s">
        <v>87</v>
      </c>
      <c r="B109" s="6" t="s">
        <v>359</v>
      </c>
      <c r="C109" s="111" t="s">
        <v>673</v>
      </c>
      <c r="D109" s="112"/>
      <c r="E109" s="112"/>
      <c r="F109" s="6" t="s">
        <v>897</v>
      </c>
      <c r="G109" s="17">
        <v>0.02816</v>
      </c>
      <c r="H109" s="17">
        <v>0</v>
      </c>
      <c r="I109" s="17">
        <f t="shared" si="66"/>
        <v>0</v>
      </c>
      <c r="J109" s="17">
        <f t="shared" si="67"/>
        <v>0</v>
      </c>
      <c r="K109" s="17">
        <f t="shared" si="68"/>
        <v>0</v>
      </c>
      <c r="L109" s="29" t="s">
        <v>922</v>
      </c>
      <c r="Z109" s="33">
        <f t="shared" si="69"/>
        <v>0</v>
      </c>
      <c r="AB109" s="33">
        <f t="shared" si="70"/>
        <v>0</v>
      </c>
      <c r="AC109" s="33">
        <f t="shared" si="71"/>
        <v>0</v>
      </c>
      <c r="AD109" s="33">
        <f t="shared" si="72"/>
        <v>0</v>
      </c>
      <c r="AE109" s="33">
        <f t="shared" si="73"/>
        <v>0</v>
      </c>
      <c r="AF109" s="33">
        <f t="shared" si="74"/>
        <v>0</v>
      </c>
      <c r="AG109" s="33">
        <f t="shared" si="75"/>
        <v>0</v>
      </c>
      <c r="AH109" s="33">
        <f t="shared" si="76"/>
        <v>0</v>
      </c>
      <c r="AI109" s="28"/>
      <c r="AJ109" s="17">
        <f t="shared" si="77"/>
        <v>0</v>
      </c>
      <c r="AK109" s="17">
        <f t="shared" si="78"/>
        <v>0</v>
      </c>
      <c r="AL109" s="17">
        <f t="shared" si="79"/>
        <v>0</v>
      </c>
      <c r="AN109" s="33">
        <v>21</v>
      </c>
      <c r="AO109" s="33">
        <f>H109*1</f>
        <v>0</v>
      </c>
      <c r="AP109" s="33">
        <f>H109*(1-1)</f>
        <v>0</v>
      </c>
      <c r="AQ109" s="29" t="s">
        <v>11</v>
      </c>
      <c r="AV109" s="33">
        <f t="shared" si="80"/>
        <v>0</v>
      </c>
      <c r="AW109" s="33">
        <f t="shared" si="81"/>
        <v>0</v>
      </c>
      <c r="AX109" s="33">
        <f t="shared" si="82"/>
        <v>0</v>
      </c>
      <c r="AY109" s="34" t="s">
        <v>952</v>
      </c>
      <c r="AZ109" s="34" t="s">
        <v>999</v>
      </c>
      <c r="BA109" s="28" t="s">
        <v>1007</v>
      </c>
      <c r="BC109" s="33">
        <f t="shared" si="83"/>
        <v>0</v>
      </c>
      <c r="BD109" s="33">
        <f t="shared" si="84"/>
        <v>0</v>
      </c>
      <c r="BE109" s="33">
        <v>0</v>
      </c>
      <c r="BF109" s="33">
        <f>113</f>
        <v>113</v>
      </c>
      <c r="BH109" s="17">
        <f t="shared" si="85"/>
        <v>0</v>
      </c>
      <c r="BI109" s="17">
        <f t="shared" si="86"/>
        <v>0</v>
      </c>
      <c r="BJ109" s="17">
        <f t="shared" si="87"/>
        <v>0</v>
      </c>
    </row>
    <row r="110" spans="1:47" ht="12.75">
      <c r="A110" s="5"/>
      <c r="B110" s="13" t="s">
        <v>360</v>
      </c>
      <c r="C110" s="109" t="s">
        <v>674</v>
      </c>
      <c r="D110" s="110"/>
      <c r="E110" s="110"/>
      <c r="F110" s="5" t="s">
        <v>6</v>
      </c>
      <c r="G110" s="5" t="s">
        <v>6</v>
      </c>
      <c r="H110" s="5" t="s">
        <v>6</v>
      </c>
      <c r="I110" s="36">
        <f>SUM(I111:I123)</f>
        <v>0</v>
      </c>
      <c r="J110" s="36">
        <f>SUM(J111:J123)</f>
        <v>0</v>
      </c>
      <c r="K110" s="36">
        <f>SUM(K111:K123)</f>
        <v>0</v>
      </c>
      <c r="L110" s="28"/>
      <c r="AI110" s="28"/>
      <c r="AS110" s="36">
        <f>SUM(AJ111:AJ123)</f>
        <v>0</v>
      </c>
      <c r="AT110" s="36">
        <f>SUM(AK111:AK123)</f>
        <v>0</v>
      </c>
      <c r="AU110" s="36">
        <f>SUM(AL111:AL123)</f>
        <v>0</v>
      </c>
    </row>
    <row r="111" spans="1:62" ht="12.75">
      <c r="A111" s="4" t="s">
        <v>88</v>
      </c>
      <c r="B111" s="4" t="s">
        <v>361</v>
      </c>
      <c r="C111" s="107" t="s">
        <v>675</v>
      </c>
      <c r="D111" s="108"/>
      <c r="E111" s="108"/>
      <c r="F111" s="4" t="s">
        <v>896</v>
      </c>
      <c r="G111" s="16">
        <v>1</v>
      </c>
      <c r="H111" s="16">
        <v>0</v>
      </c>
      <c r="I111" s="16">
        <f aca="true" t="shared" si="88" ref="I111:I123">G111*AO111</f>
        <v>0</v>
      </c>
      <c r="J111" s="16">
        <f aca="true" t="shared" si="89" ref="J111:J123">G111*AP111</f>
        <v>0</v>
      </c>
      <c r="K111" s="16">
        <f aca="true" t="shared" si="90" ref="K111:K123">G111*H111</f>
        <v>0</v>
      </c>
      <c r="L111" s="27" t="s">
        <v>922</v>
      </c>
      <c r="Z111" s="33">
        <f aca="true" t="shared" si="91" ref="Z111:Z123">IF(AQ111="5",BJ111,0)</f>
        <v>0</v>
      </c>
      <c r="AB111" s="33">
        <f aca="true" t="shared" si="92" ref="AB111:AB123">IF(AQ111="1",BH111,0)</f>
        <v>0</v>
      </c>
      <c r="AC111" s="33">
        <f aca="true" t="shared" si="93" ref="AC111:AC123">IF(AQ111="1",BI111,0)</f>
        <v>0</v>
      </c>
      <c r="AD111" s="33">
        <f aca="true" t="shared" si="94" ref="AD111:AD123">IF(AQ111="7",BH111,0)</f>
        <v>0</v>
      </c>
      <c r="AE111" s="33">
        <f aca="true" t="shared" si="95" ref="AE111:AE123">IF(AQ111="7",BI111,0)</f>
        <v>0</v>
      </c>
      <c r="AF111" s="33">
        <f aca="true" t="shared" si="96" ref="AF111:AF123">IF(AQ111="2",BH111,0)</f>
        <v>0</v>
      </c>
      <c r="AG111" s="33">
        <f aca="true" t="shared" si="97" ref="AG111:AG123">IF(AQ111="2",BI111,0)</f>
        <v>0</v>
      </c>
      <c r="AH111" s="33">
        <f aca="true" t="shared" si="98" ref="AH111:AH123">IF(AQ111="0",BJ111,0)</f>
        <v>0</v>
      </c>
      <c r="AI111" s="28"/>
      <c r="AJ111" s="16">
        <f aca="true" t="shared" si="99" ref="AJ111:AJ123">IF(AN111=0,K111,0)</f>
        <v>0</v>
      </c>
      <c r="AK111" s="16">
        <f aca="true" t="shared" si="100" ref="AK111:AK123">IF(AN111=15,K111,0)</f>
        <v>0</v>
      </c>
      <c r="AL111" s="16">
        <f aca="true" t="shared" si="101" ref="AL111:AL123">IF(AN111=21,K111,0)</f>
        <v>0</v>
      </c>
      <c r="AN111" s="33">
        <v>21</v>
      </c>
      <c r="AO111" s="33">
        <f>H111*0.27746922172658</f>
        <v>0</v>
      </c>
      <c r="AP111" s="33">
        <f>H111*(1-0.27746922172658)</f>
        <v>0</v>
      </c>
      <c r="AQ111" s="27" t="s">
        <v>11</v>
      </c>
      <c r="AV111" s="33">
        <f aca="true" t="shared" si="102" ref="AV111:AV123">AW111+AX111</f>
        <v>0</v>
      </c>
      <c r="AW111" s="33">
        <f aca="true" t="shared" si="103" ref="AW111:AW123">G111*AO111</f>
        <v>0</v>
      </c>
      <c r="AX111" s="33">
        <f aca="true" t="shared" si="104" ref="AX111:AX123">G111*AP111</f>
        <v>0</v>
      </c>
      <c r="AY111" s="34" t="s">
        <v>953</v>
      </c>
      <c r="AZ111" s="34" t="s">
        <v>1000</v>
      </c>
      <c r="BA111" s="28" t="s">
        <v>1007</v>
      </c>
      <c r="BC111" s="33">
        <f aca="true" t="shared" si="105" ref="BC111:BC123">AW111+AX111</f>
        <v>0</v>
      </c>
      <c r="BD111" s="33">
        <f aca="true" t="shared" si="106" ref="BD111:BD123">H111/(100-BE111)*100</f>
        <v>0</v>
      </c>
      <c r="BE111" s="33">
        <v>0</v>
      </c>
      <c r="BF111" s="33">
        <f>115</f>
        <v>115</v>
      </c>
      <c r="BH111" s="16">
        <f aca="true" t="shared" si="107" ref="BH111:BH123">G111*AO111</f>
        <v>0</v>
      </c>
      <c r="BI111" s="16">
        <f aca="true" t="shared" si="108" ref="BI111:BI123">G111*AP111</f>
        <v>0</v>
      </c>
      <c r="BJ111" s="16">
        <f aca="true" t="shared" si="109" ref="BJ111:BJ123">G111*H111</f>
        <v>0</v>
      </c>
    </row>
    <row r="112" spans="1:62" ht="12.75">
      <c r="A112" s="4" t="s">
        <v>89</v>
      </c>
      <c r="B112" s="4" t="s">
        <v>362</v>
      </c>
      <c r="C112" s="107" t="s">
        <v>676</v>
      </c>
      <c r="D112" s="108"/>
      <c r="E112" s="108"/>
      <c r="F112" s="4" t="s">
        <v>899</v>
      </c>
      <c r="G112" s="16">
        <v>7</v>
      </c>
      <c r="H112" s="16">
        <v>0</v>
      </c>
      <c r="I112" s="16">
        <f t="shared" si="88"/>
        <v>0</v>
      </c>
      <c r="J112" s="16">
        <f t="shared" si="89"/>
        <v>0</v>
      </c>
      <c r="K112" s="16">
        <f t="shared" si="90"/>
        <v>0</v>
      </c>
      <c r="L112" s="27" t="s">
        <v>922</v>
      </c>
      <c r="Z112" s="33">
        <f t="shared" si="91"/>
        <v>0</v>
      </c>
      <c r="AB112" s="33">
        <f t="shared" si="92"/>
        <v>0</v>
      </c>
      <c r="AC112" s="33">
        <f t="shared" si="93"/>
        <v>0</v>
      </c>
      <c r="AD112" s="33">
        <f t="shared" si="94"/>
        <v>0</v>
      </c>
      <c r="AE112" s="33">
        <f t="shared" si="95"/>
        <v>0</v>
      </c>
      <c r="AF112" s="33">
        <f t="shared" si="96"/>
        <v>0</v>
      </c>
      <c r="AG112" s="33">
        <f t="shared" si="97"/>
        <v>0</v>
      </c>
      <c r="AH112" s="33">
        <f t="shared" si="98"/>
        <v>0</v>
      </c>
      <c r="AI112" s="28"/>
      <c r="AJ112" s="16">
        <f t="shared" si="99"/>
        <v>0</v>
      </c>
      <c r="AK112" s="16">
        <f t="shared" si="100"/>
        <v>0</v>
      </c>
      <c r="AL112" s="16">
        <f t="shared" si="101"/>
        <v>0</v>
      </c>
      <c r="AN112" s="33">
        <v>21</v>
      </c>
      <c r="AO112" s="33">
        <f>H112*0.318502879078695</f>
        <v>0</v>
      </c>
      <c r="AP112" s="33">
        <f>H112*(1-0.318502879078695)</f>
        <v>0</v>
      </c>
      <c r="AQ112" s="27" t="s">
        <v>11</v>
      </c>
      <c r="AV112" s="33">
        <f t="shared" si="102"/>
        <v>0</v>
      </c>
      <c r="AW112" s="33">
        <f t="shared" si="103"/>
        <v>0</v>
      </c>
      <c r="AX112" s="33">
        <f t="shared" si="104"/>
        <v>0</v>
      </c>
      <c r="AY112" s="34" t="s">
        <v>953</v>
      </c>
      <c r="AZ112" s="34" t="s">
        <v>1000</v>
      </c>
      <c r="BA112" s="28" t="s">
        <v>1007</v>
      </c>
      <c r="BC112" s="33">
        <f t="shared" si="105"/>
        <v>0</v>
      </c>
      <c r="BD112" s="33">
        <f t="shared" si="106"/>
        <v>0</v>
      </c>
      <c r="BE112" s="33">
        <v>0</v>
      </c>
      <c r="BF112" s="33">
        <f>116</f>
        <v>116</v>
      </c>
      <c r="BH112" s="16">
        <f t="shared" si="107"/>
        <v>0</v>
      </c>
      <c r="BI112" s="16">
        <f t="shared" si="108"/>
        <v>0</v>
      </c>
      <c r="BJ112" s="16">
        <f t="shared" si="109"/>
        <v>0</v>
      </c>
    </row>
    <row r="113" spans="1:62" ht="12.75">
      <c r="A113" s="4" t="s">
        <v>90</v>
      </c>
      <c r="B113" s="4" t="s">
        <v>363</v>
      </c>
      <c r="C113" s="107" t="s">
        <v>677</v>
      </c>
      <c r="D113" s="108"/>
      <c r="E113" s="108"/>
      <c r="F113" s="4" t="s">
        <v>899</v>
      </c>
      <c r="G113" s="16">
        <v>3</v>
      </c>
      <c r="H113" s="16">
        <v>0</v>
      </c>
      <c r="I113" s="16">
        <f t="shared" si="88"/>
        <v>0</v>
      </c>
      <c r="J113" s="16">
        <f t="shared" si="89"/>
        <v>0</v>
      </c>
      <c r="K113" s="16">
        <f t="shared" si="90"/>
        <v>0</v>
      </c>
      <c r="L113" s="27" t="s">
        <v>922</v>
      </c>
      <c r="Z113" s="33">
        <f t="shared" si="91"/>
        <v>0</v>
      </c>
      <c r="AB113" s="33">
        <f t="shared" si="92"/>
        <v>0</v>
      </c>
      <c r="AC113" s="33">
        <f t="shared" si="93"/>
        <v>0</v>
      </c>
      <c r="AD113" s="33">
        <f t="shared" si="94"/>
        <v>0</v>
      </c>
      <c r="AE113" s="33">
        <f t="shared" si="95"/>
        <v>0</v>
      </c>
      <c r="AF113" s="33">
        <f t="shared" si="96"/>
        <v>0</v>
      </c>
      <c r="AG113" s="33">
        <f t="shared" si="97"/>
        <v>0</v>
      </c>
      <c r="AH113" s="33">
        <f t="shared" si="98"/>
        <v>0</v>
      </c>
      <c r="AI113" s="28"/>
      <c r="AJ113" s="16">
        <f t="shared" si="99"/>
        <v>0</v>
      </c>
      <c r="AK113" s="16">
        <f t="shared" si="100"/>
        <v>0</v>
      </c>
      <c r="AL113" s="16">
        <f t="shared" si="101"/>
        <v>0</v>
      </c>
      <c r="AN113" s="33">
        <v>21</v>
      </c>
      <c r="AO113" s="33">
        <f>H113*0.303161057692308</f>
        <v>0</v>
      </c>
      <c r="AP113" s="33">
        <f>H113*(1-0.303161057692308)</f>
        <v>0</v>
      </c>
      <c r="AQ113" s="27" t="s">
        <v>11</v>
      </c>
      <c r="AV113" s="33">
        <f t="shared" si="102"/>
        <v>0</v>
      </c>
      <c r="AW113" s="33">
        <f t="shared" si="103"/>
        <v>0</v>
      </c>
      <c r="AX113" s="33">
        <f t="shared" si="104"/>
        <v>0</v>
      </c>
      <c r="AY113" s="34" t="s">
        <v>953</v>
      </c>
      <c r="AZ113" s="34" t="s">
        <v>1000</v>
      </c>
      <c r="BA113" s="28" t="s">
        <v>1007</v>
      </c>
      <c r="BC113" s="33">
        <f t="shared" si="105"/>
        <v>0</v>
      </c>
      <c r="BD113" s="33">
        <f t="shared" si="106"/>
        <v>0</v>
      </c>
      <c r="BE113" s="33">
        <v>0</v>
      </c>
      <c r="BF113" s="33">
        <f>117</f>
        <v>117</v>
      </c>
      <c r="BH113" s="16">
        <f t="shared" si="107"/>
        <v>0</v>
      </c>
      <c r="BI113" s="16">
        <f t="shared" si="108"/>
        <v>0</v>
      </c>
      <c r="BJ113" s="16">
        <f t="shared" si="109"/>
        <v>0</v>
      </c>
    </row>
    <row r="114" spans="1:62" ht="12.75">
      <c r="A114" s="4" t="s">
        <v>91</v>
      </c>
      <c r="B114" s="4" t="s">
        <v>364</v>
      </c>
      <c r="C114" s="107" t="s">
        <v>678</v>
      </c>
      <c r="D114" s="108"/>
      <c r="E114" s="108"/>
      <c r="F114" s="4" t="s">
        <v>899</v>
      </c>
      <c r="G114" s="16">
        <v>3</v>
      </c>
      <c r="H114" s="16">
        <v>0</v>
      </c>
      <c r="I114" s="16">
        <f t="shared" si="88"/>
        <v>0</v>
      </c>
      <c r="J114" s="16">
        <f t="shared" si="89"/>
        <v>0</v>
      </c>
      <c r="K114" s="16">
        <f t="shared" si="90"/>
        <v>0</v>
      </c>
      <c r="L114" s="27" t="s">
        <v>922</v>
      </c>
      <c r="Z114" s="33">
        <f t="shared" si="91"/>
        <v>0</v>
      </c>
      <c r="AB114" s="33">
        <f t="shared" si="92"/>
        <v>0</v>
      </c>
      <c r="AC114" s="33">
        <f t="shared" si="93"/>
        <v>0</v>
      </c>
      <c r="AD114" s="33">
        <f t="shared" si="94"/>
        <v>0</v>
      </c>
      <c r="AE114" s="33">
        <f t="shared" si="95"/>
        <v>0</v>
      </c>
      <c r="AF114" s="33">
        <f t="shared" si="96"/>
        <v>0</v>
      </c>
      <c r="AG114" s="33">
        <f t="shared" si="97"/>
        <v>0</v>
      </c>
      <c r="AH114" s="33">
        <f t="shared" si="98"/>
        <v>0</v>
      </c>
      <c r="AI114" s="28"/>
      <c r="AJ114" s="16">
        <f t="shared" si="99"/>
        <v>0</v>
      </c>
      <c r="AK114" s="16">
        <f t="shared" si="100"/>
        <v>0</v>
      </c>
      <c r="AL114" s="16">
        <f t="shared" si="101"/>
        <v>0</v>
      </c>
      <c r="AN114" s="33">
        <v>21</v>
      </c>
      <c r="AO114" s="33">
        <f>H114*0.386604651162791</f>
        <v>0</v>
      </c>
      <c r="AP114" s="33">
        <f>H114*(1-0.386604651162791)</f>
        <v>0</v>
      </c>
      <c r="AQ114" s="27" t="s">
        <v>11</v>
      </c>
      <c r="AV114" s="33">
        <f t="shared" si="102"/>
        <v>0</v>
      </c>
      <c r="AW114" s="33">
        <f t="shared" si="103"/>
        <v>0</v>
      </c>
      <c r="AX114" s="33">
        <f t="shared" si="104"/>
        <v>0</v>
      </c>
      <c r="AY114" s="34" t="s">
        <v>953</v>
      </c>
      <c r="AZ114" s="34" t="s">
        <v>1000</v>
      </c>
      <c r="BA114" s="28" t="s">
        <v>1007</v>
      </c>
      <c r="BC114" s="33">
        <f t="shared" si="105"/>
        <v>0</v>
      </c>
      <c r="BD114" s="33">
        <f t="shared" si="106"/>
        <v>0</v>
      </c>
      <c r="BE114" s="33">
        <v>0</v>
      </c>
      <c r="BF114" s="33">
        <f>118</f>
        <v>118</v>
      </c>
      <c r="BH114" s="16">
        <f t="shared" si="107"/>
        <v>0</v>
      </c>
      <c r="BI114" s="16">
        <f t="shared" si="108"/>
        <v>0</v>
      </c>
      <c r="BJ114" s="16">
        <f t="shared" si="109"/>
        <v>0</v>
      </c>
    </row>
    <row r="115" spans="1:62" ht="12.75">
      <c r="A115" s="4" t="s">
        <v>92</v>
      </c>
      <c r="B115" s="4" t="s">
        <v>365</v>
      </c>
      <c r="C115" s="107" t="s">
        <v>679</v>
      </c>
      <c r="D115" s="108"/>
      <c r="E115" s="108"/>
      <c r="F115" s="4" t="s">
        <v>899</v>
      </c>
      <c r="G115" s="16">
        <v>35</v>
      </c>
      <c r="H115" s="16">
        <v>0</v>
      </c>
      <c r="I115" s="16">
        <f t="shared" si="88"/>
        <v>0</v>
      </c>
      <c r="J115" s="16">
        <f t="shared" si="89"/>
        <v>0</v>
      </c>
      <c r="K115" s="16">
        <f t="shared" si="90"/>
        <v>0</v>
      </c>
      <c r="L115" s="27" t="s">
        <v>922</v>
      </c>
      <c r="Z115" s="33">
        <f t="shared" si="91"/>
        <v>0</v>
      </c>
      <c r="AB115" s="33">
        <f t="shared" si="92"/>
        <v>0</v>
      </c>
      <c r="AC115" s="33">
        <f t="shared" si="93"/>
        <v>0</v>
      </c>
      <c r="AD115" s="33">
        <f t="shared" si="94"/>
        <v>0</v>
      </c>
      <c r="AE115" s="33">
        <f t="shared" si="95"/>
        <v>0</v>
      </c>
      <c r="AF115" s="33">
        <f t="shared" si="96"/>
        <v>0</v>
      </c>
      <c r="AG115" s="33">
        <f t="shared" si="97"/>
        <v>0</v>
      </c>
      <c r="AH115" s="33">
        <f t="shared" si="98"/>
        <v>0</v>
      </c>
      <c r="AI115" s="28"/>
      <c r="AJ115" s="16">
        <f t="shared" si="99"/>
        <v>0</v>
      </c>
      <c r="AK115" s="16">
        <f t="shared" si="100"/>
        <v>0</v>
      </c>
      <c r="AL115" s="16">
        <f t="shared" si="101"/>
        <v>0</v>
      </c>
      <c r="AN115" s="33">
        <v>21</v>
      </c>
      <c r="AO115" s="33">
        <f>H115*0.475973509933775</f>
        <v>0</v>
      </c>
      <c r="AP115" s="33">
        <f>H115*(1-0.475973509933775)</f>
        <v>0</v>
      </c>
      <c r="AQ115" s="27" t="s">
        <v>11</v>
      </c>
      <c r="AV115" s="33">
        <f t="shared" si="102"/>
        <v>0</v>
      </c>
      <c r="AW115" s="33">
        <f t="shared" si="103"/>
        <v>0</v>
      </c>
      <c r="AX115" s="33">
        <f t="shared" si="104"/>
        <v>0</v>
      </c>
      <c r="AY115" s="34" t="s">
        <v>953</v>
      </c>
      <c r="AZ115" s="34" t="s">
        <v>1000</v>
      </c>
      <c r="BA115" s="28" t="s">
        <v>1007</v>
      </c>
      <c r="BC115" s="33">
        <f t="shared" si="105"/>
        <v>0</v>
      </c>
      <c r="BD115" s="33">
        <f t="shared" si="106"/>
        <v>0</v>
      </c>
      <c r="BE115" s="33">
        <v>0</v>
      </c>
      <c r="BF115" s="33">
        <f>119</f>
        <v>119</v>
      </c>
      <c r="BH115" s="16">
        <f t="shared" si="107"/>
        <v>0</v>
      </c>
      <c r="BI115" s="16">
        <f t="shared" si="108"/>
        <v>0</v>
      </c>
      <c r="BJ115" s="16">
        <f t="shared" si="109"/>
        <v>0</v>
      </c>
    </row>
    <row r="116" spans="1:62" ht="12.75">
      <c r="A116" s="4" t="s">
        <v>93</v>
      </c>
      <c r="B116" s="4" t="s">
        <v>366</v>
      </c>
      <c r="C116" s="107" t="s">
        <v>680</v>
      </c>
      <c r="D116" s="108"/>
      <c r="E116" s="108"/>
      <c r="F116" s="4" t="s">
        <v>899</v>
      </c>
      <c r="G116" s="16">
        <v>48</v>
      </c>
      <c r="H116" s="16">
        <v>0</v>
      </c>
      <c r="I116" s="16">
        <f t="shared" si="88"/>
        <v>0</v>
      </c>
      <c r="J116" s="16">
        <f t="shared" si="89"/>
        <v>0</v>
      </c>
      <c r="K116" s="16">
        <f t="shared" si="90"/>
        <v>0</v>
      </c>
      <c r="L116" s="27" t="s">
        <v>922</v>
      </c>
      <c r="Z116" s="33">
        <f t="shared" si="91"/>
        <v>0</v>
      </c>
      <c r="AB116" s="33">
        <f t="shared" si="92"/>
        <v>0</v>
      </c>
      <c r="AC116" s="33">
        <f t="shared" si="93"/>
        <v>0</v>
      </c>
      <c r="AD116" s="33">
        <f t="shared" si="94"/>
        <v>0</v>
      </c>
      <c r="AE116" s="33">
        <f t="shared" si="95"/>
        <v>0</v>
      </c>
      <c r="AF116" s="33">
        <f t="shared" si="96"/>
        <v>0</v>
      </c>
      <c r="AG116" s="33">
        <f t="shared" si="97"/>
        <v>0</v>
      </c>
      <c r="AH116" s="33">
        <f t="shared" si="98"/>
        <v>0</v>
      </c>
      <c r="AI116" s="28"/>
      <c r="AJ116" s="16">
        <f t="shared" si="99"/>
        <v>0</v>
      </c>
      <c r="AK116" s="16">
        <f t="shared" si="100"/>
        <v>0</v>
      </c>
      <c r="AL116" s="16">
        <f t="shared" si="101"/>
        <v>0</v>
      </c>
      <c r="AN116" s="33">
        <v>21</v>
      </c>
      <c r="AO116" s="33">
        <f>H116*0.0253994264645637</f>
        <v>0</v>
      </c>
      <c r="AP116" s="33">
        <f>H116*(1-0.0253994264645637)</f>
        <v>0</v>
      </c>
      <c r="AQ116" s="27" t="s">
        <v>11</v>
      </c>
      <c r="AV116" s="33">
        <f t="shared" si="102"/>
        <v>0</v>
      </c>
      <c r="AW116" s="33">
        <f t="shared" si="103"/>
        <v>0</v>
      </c>
      <c r="AX116" s="33">
        <f t="shared" si="104"/>
        <v>0</v>
      </c>
      <c r="AY116" s="34" t="s">
        <v>953</v>
      </c>
      <c r="AZ116" s="34" t="s">
        <v>1000</v>
      </c>
      <c r="BA116" s="28" t="s">
        <v>1007</v>
      </c>
      <c r="BC116" s="33">
        <f t="shared" si="105"/>
        <v>0</v>
      </c>
      <c r="BD116" s="33">
        <f t="shared" si="106"/>
        <v>0</v>
      </c>
      <c r="BE116" s="33">
        <v>0</v>
      </c>
      <c r="BF116" s="33">
        <f>120</f>
        <v>120</v>
      </c>
      <c r="BH116" s="16">
        <f t="shared" si="107"/>
        <v>0</v>
      </c>
      <c r="BI116" s="16">
        <f t="shared" si="108"/>
        <v>0</v>
      </c>
      <c r="BJ116" s="16">
        <f t="shared" si="109"/>
        <v>0</v>
      </c>
    </row>
    <row r="117" spans="1:62" ht="12.75">
      <c r="A117" s="6" t="s">
        <v>94</v>
      </c>
      <c r="B117" s="6" t="s">
        <v>367</v>
      </c>
      <c r="C117" s="111" t="s">
        <v>681</v>
      </c>
      <c r="D117" s="112"/>
      <c r="E117" s="112"/>
      <c r="F117" s="6" t="s">
        <v>896</v>
      </c>
      <c r="G117" s="17">
        <v>1</v>
      </c>
      <c r="H117" s="17">
        <v>0</v>
      </c>
      <c r="I117" s="17">
        <f t="shared" si="88"/>
        <v>0</v>
      </c>
      <c r="J117" s="17">
        <f t="shared" si="89"/>
        <v>0</v>
      </c>
      <c r="K117" s="17">
        <f t="shared" si="90"/>
        <v>0</v>
      </c>
      <c r="L117" s="29" t="s">
        <v>922</v>
      </c>
      <c r="Z117" s="33">
        <f t="shared" si="91"/>
        <v>0</v>
      </c>
      <c r="AB117" s="33">
        <f t="shared" si="92"/>
        <v>0</v>
      </c>
      <c r="AC117" s="33">
        <f t="shared" si="93"/>
        <v>0</v>
      </c>
      <c r="AD117" s="33">
        <f t="shared" si="94"/>
        <v>0</v>
      </c>
      <c r="AE117" s="33">
        <f t="shared" si="95"/>
        <v>0</v>
      </c>
      <c r="AF117" s="33">
        <f t="shared" si="96"/>
        <v>0</v>
      </c>
      <c r="AG117" s="33">
        <f t="shared" si="97"/>
        <v>0</v>
      </c>
      <c r="AH117" s="33">
        <f t="shared" si="98"/>
        <v>0</v>
      </c>
      <c r="AI117" s="28"/>
      <c r="AJ117" s="17">
        <f t="shared" si="99"/>
        <v>0</v>
      </c>
      <c r="AK117" s="17">
        <f t="shared" si="100"/>
        <v>0</v>
      </c>
      <c r="AL117" s="17">
        <f t="shared" si="101"/>
        <v>0</v>
      </c>
      <c r="AN117" s="33">
        <v>21</v>
      </c>
      <c r="AO117" s="33">
        <f>H117*1</f>
        <v>0</v>
      </c>
      <c r="AP117" s="33">
        <f>H117*(1-1)</f>
        <v>0</v>
      </c>
      <c r="AQ117" s="29" t="s">
        <v>11</v>
      </c>
      <c r="AV117" s="33">
        <f t="shared" si="102"/>
        <v>0</v>
      </c>
      <c r="AW117" s="33">
        <f t="shared" si="103"/>
        <v>0</v>
      </c>
      <c r="AX117" s="33">
        <f t="shared" si="104"/>
        <v>0</v>
      </c>
      <c r="AY117" s="34" t="s">
        <v>953</v>
      </c>
      <c r="AZ117" s="34" t="s">
        <v>1000</v>
      </c>
      <c r="BA117" s="28" t="s">
        <v>1007</v>
      </c>
      <c r="BC117" s="33">
        <f t="shared" si="105"/>
        <v>0</v>
      </c>
      <c r="BD117" s="33">
        <f t="shared" si="106"/>
        <v>0</v>
      </c>
      <c r="BE117" s="33">
        <v>0</v>
      </c>
      <c r="BF117" s="33">
        <f>121</f>
        <v>121</v>
      </c>
      <c r="BH117" s="17">
        <f t="shared" si="107"/>
        <v>0</v>
      </c>
      <c r="BI117" s="17">
        <f t="shared" si="108"/>
        <v>0</v>
      </c>
      <c r="BJ117" s="17">
        <f t="shared" si="109"/>
        <v>0</v>
      </c>
    </row>
    <row r="118" spans="1:62" ht="12.75">
      <c r="A118" s="4" t="s">
        <v>95</v>
      </c>
      <c r="B118" s="4" t="s">
        <v>361</v>
      </c>
      <c r="C118" s="107" t="s">
        <v>682</v>
      </c>
      <c r="D118" s="108"/>
      <c r="E118" s="108"/>
      <c r="F118" s="4" t="s">
        <v>901</v>
      </c>
      <c r="G118" s="16">
        <v>1</v>
      </c>
      <c r="H118" s="16">
        <v>0</v>
      </c>
      <c r="I118" s="16">
        <f t="shared" si="88"/>
        <v>0</v>
      </c>
      <c r="J118" s="16">
        <f t="shared" si="89"/>
        <v>0</v>
      </c>
      <c r="K118" s="16">
        <f t="shared" si="90"/>
        <v>0</v>
      </c>
      <c r="L118" s="27" t="s">
        <v>922</v>
      </c>
      <c r="Z118" s="33">
        <f t="shared" si="91"/>
        <v>0</v>
      </c>
      <c r="AB118" s="33">
        <f t="shared" si="92"/>
        <v>0</v>
      </c>
      <c r="AC118" s="33">
        <f t="shared" si="93"/>
        <v>0</v>
      </c>
      <c r="AD118" s="33">
        <f t="shared" si="94"/>
        <v>0</v>
      </c>
      <c r="AE118" s="33">
        <f t="shared" si="95"/>
        <v>0</v>
      </c>
      <c r="AF118" s="33">
        <f t="shared" si="96"/>
        <v>0</v>
      </c>
      <c r="AG118" s="33">
        <f t="shared" si="97"/>
        <v>0</v>
      </c>
      <c r="AH118" s="33">
        <f t="shared" si="98"/>
        <v>0</v>
      </c>
      <c r="AI118" s="28"/>
      <c r="AJ118" s="16">
        <f t="shared" si="99"/>
        <v>0</v>
      </c>
      <c r="AK118" s="16">
        <f t="shared" si="100"/>
        <v>0</v>
      </c>
      <c r="AL118" s="16">
        <f t="shared" si="101"/>
        <v>0</v>
      </c>
      <c r="AN118" s="33">
        <v>21</v>
      </c>
      <c r="AO118" s="33">
        <f>H118*0.418181818181818</f>
        <v>0</v>
      </c>
      <c r="AP118" s="33">
        <f>H118*(1-0.418181818181818)</f>
        <v>0</v>
      </c>
      <c r="AQ118" s="27" t="s">
        <v>11</v>
      </c>
      <c r="AV118" s="33">
        <f t="shared" si="102"/>
        <v>0</v>
      </c>
      <c r="AW118" s="33">
        <f t="shared" si="103"/>
        <v>0</v>
      </c>
      <c r="AX118" s="33">
        <f t="shared" si="104"/>
        <v>0</v>
      </c>
      <c r="AY118" s="34" t="s">
        <v>953</v>
      </c>
      <c r="AZ118" s="34" t="s">
        <v>1000</v>
      </c>
      <c r="BA118" s="28" t="s">
        <v>1007</v>
      </c>
      <c r="BC118" s="33">
        <f t="shared" si="105"/>
        <v>0</v>
      </c>
      <c r="BD118" s="33">
        <f t="shared" si="106"/>
        <v>0</v>
      </c>
      <c r="BE118" s="33">
        <v>0</v>
      </c>
      <c r="BF118" s="33">
        <f>122</f>
        <v>122</v>
      </c>
      <c r="BH118" s="16">
        <f t="shared" si="107"/>
        <v>0</v>
      </c>
      <c r="BI118" s="16">
        <f t="shared" si="108"/>
        <v>0</v>
      </c>
      <c r="BJ118" s="16">
        <f t="shared" si="109"/>
        <v>0</v>
      </c>
    </row>
    <row r="119" spans="1:62" ht="12.75">
      <c r="A119" s="4" t="s">
        <v>96</v>
      </c>
      <c r="B119" s="4" t="s">
        <v>368</v>
      </c>
      <c r="C119" s="107" t="s">
        <v>683</v>
      </c>
      <c r="D119" s="108"/>
      <c r="E119" s="108"/>
      <c r="F119" s="4" t="s">
        <v>899</v>
      </c>
      <c r="G119" s="16">
        <v>4</v>
      </c>
      <c r="H119" s="16">
        <v>0</v>
      </c>
      <c r="I119" s="16">
        <f t="shared" si="88"/>
        <v>0</v>
      </c>
      <c r="J119" s="16">
        <f t="shared" si="89"/>
        <v>0</v>
      </c>
      <c r="K119" s="16">
        <f t="shared" si="90"/>
        <v>0</v>
      </c>
      <c r="L119" s="27" t="s">
        <v>922</v>
      </c>
      <c r="Z119" s="33">
        <f t="shared" si="91"/>
        <v>0</v>
      </c>
      <c r="AB119" s="33">
        <f t="shared" si="92"/>
        <v>0</v>
      </c>
      <c r="AC119" s="33">
        <f t="shared" si="93"/>
        <v>0</v>
      </c>
      <c r="AD119" s="33">
        <f t="shared" si="94"/>
        <v>0</v>
      </c>
      <c r="AE119" s="33">
        <f t="shared" si="95"/>
        <v>0</v>
      </c>
      <c r="AF119" s="33">
        <f t="shared" si="96"/>
        <v>0</v>
      </c>
      <c r="AG119" s="33">
        <f t="shared" si="97"/>
        <v>0</v>
      </c>
      <c r="AH119" s="33">
        <f t="shared" si="98"/>
        <v>0</v>
      </c>
      <c r="AI119" s="28"/>
      <c r="AJ119" s="16">
        <f t="shared" si="99"/>
        <v>0</v>
      </c>
      <c r="AK119" s="16">
        <f t="shared" si="100"/>
        <v>0</v>
      </c>
      <c r="AL119" s="16">
        <f t="shared" si="101"/>
        <v>0</v>
      </c>
      <c r="AN119" s="33">
        <v>21</v>
      </c>
      <c r="AO119" s="33">
        <f>H119*0.386604131943099</f>
        <v>0</v>
      </c>
      <c r="AP119" s="33">
        <f>H119*(1-0.386604131943099)</f>
        <v>0</v>
      </c>
      <c r="AQ119" s="27" t="s">
        <v>11</v>
      </c>
      <c r="AV119" s="33">
        <f t="shared" si="102"/>
        <v>0</v>
      </c>
      <c r="AW119" s="33">
        <f t="shared" si="103"/>
        <v>0</v>
      </c>
      <c r="AX119" s="33">
        <f t="shared" si="104"/>
        <v>0</v>
      </c>
      <c r="AY119" s="34" t="s">
        <v>953</v>
      </c>
      <c r="AZ119" s="34" t="s">
        <v>1000</v>
      </c>
      <c r="BA119" s="28" t="s">
        <v>1007</v>
      </c>
      <c r="BC119" s="33">
        <f t="shared" si="105"/>
        <v>0</v>
      </c>
      <c r="BD119" s="33">
        <f t="shared" si="106"/>
        <v>0</v>
      </c>
      <c r="BE119" s="33">
        <v>0</v>
      </c>
      <c r="BF119" s="33">
        <f>123</f>
        <v>123</v>
      </c>
      <c r="BH119" s="16">
        <f t="shared" si="107"/>
        <v>0</v>
      </c>
      <c r="BI119" s="16">
        <f t="shared" si="108"/>
        <v>0</v>
      </c>
      <c r="BJ119" s="16">
        <f t="shared" si="109"/>
        <v>0</v>
      </c>
    </row>
    <row r="120" spans="1:62" ht="12.75">
      <c r="A120" s="4" t="s">
        <v>97</v>
      </c>
      <c r="B120" s="4" t="s">
        <v>369</v>
      </c>
      <c r="C120" s="107" t="s">
        <v>684</v>
      </c>
      <c r="D120" s="108"/>
      <c r="E120" s="108"/>
      <c r="F120" s="4" t="s">
        <v>899</v>
      </c>
      <c r="G120" s="16">
        <v>2</v>
      </c>
      <c r="H120" s="16">
        <v>0</v>
      </c>
      <c r="I120" s="16">
        <f t="shared" si="88"/>
        <v>0</v>
      </c>
      <c r="J120" s="16">
        <f t="shared" si="89"/>
        <v>0</v>
      </c>
      <c r="K120" s="16">
        <f t="shared" si="90"/>
        <v>0</v>
      </c>
      <c r="L120" s="27" t="s">
        <v>922</v>
      </c>
      <c r="Z120" s="33">
        <f t="shared" si="91"/>
        <v>0</v>
      </c>
      <c r="AB120" s="33">
        <f t="shared" si="92"/>
        <v>0</v>
      </c>
      <c r="AC120" s="33">
        <f t="shared" si="93"/>
        <v>0</v>
      </c>
      <c r="AD120" s="33">
        <f t="shared" si="94"/>
        <v>0</v>
      </c>
      <c r="AE120" s="33">
        <f t="shared" si="95"/>
        <v>0</v>
      </c>
      <c r="AF120" s="33">
        <f t="shared" si="96"/>
        <v>0</v>
      </c>
      <c r="AG120" s="33">
        <f t="shared" si="97"/>
        <v>0</v>
      </c>
      <c r="AH120" s="33">
        <f t="shared" si="98"/>
        <v>0</v>
      </c>
      <c r="AI120" s="28"/>
      <c r="AJ120" s="16">
        <f t="shared" si="99"/>
        <v>0</v>
      </c>
      <c r="AK120" s="16">
        <f t="shared" si="100"/>
        <v>0</v>
      </c>
      <c r="AL120" s="16">
        <f t="shared" si="101"/>
        <v>0</v>
      </c>
      <c r="AN120" s="33">
        <v>21</v>
      </c>
      <c r="AO120" s="33">
        <f>H120*0.344486803519062</f>
        <v>0</v>
      </c>
      <c r="AP120" s="33">
        <f>H120*(1-0.344486803519062)</f>
        <v>0</v>
      </c>
      <c r="AQ120" s="27" t="s">
        <v>11</v>
      </c>
      <c r="AV120" s="33">
        <f t="shared" si="102"/>
        <v>0</v>
      </c>
      <c r="AW120" s="33">
        <f t="shared" si="103"/>
        <v>0</v>
      </c>
      <c r="AX120" s="33">
        <f t="shared" si="104"/>
        <v>0</v>
      </c>
      <c r="AY120" s="34" t="s">
        <v>953</v>
      </c>
      <c r="AZ120" s="34" t="s">
        <v>1000</v>
      </c>
      <c r="BA120" s="28" t="s">
        <v>1007</v>
      </c>
      <c r="BC120" s="33">
        <f t="shared" si="105"/>
        <v>0</v>
      </c>
      <c r="BD120" s="33">
        <f t="shared" si="106"/>
        <v>0</v>
      </c>
      <c r="BE120" s="33">
        <v>0</v>
      </c>
      <c r="BF120" s="33">
        <f>124</f>
        <v>124</v>
      </c>
      <c r="BH120" s="16">
        <f t="shared" si="107"/>
        <v>0</v>
      </c>
      <c r="BI120" s="16">
        <f t="shared" si="108"/>
        <v>0</v>
      </c>
      <c r="BJ120" s="16">
        <f t="shared" si="109"/>
        <v>0</v>
      </c>
    </row>
    <row r="121" spans="1:62" ht="12.75">
      <c r="A121" s="4" t="s">
        <v>98</v>
      </c>
      <c r="B121" s="4" t="s">
        <v>370</v>
      </c>
      <c r="C121" s="107" t="s">
        <v>685</v>
      </c>
      <c r="D121" s="108"/>
      <c r="E121" s="108"/>
      <c r="F121" s="4" t="s">
        <v>896</v>
      </c>
      <c r="G121" s="16">
        <v>1</v>
      </c>
      <c r="H121" s="16">
        <v>0</v>
      </c>
      <c r="I121" s="16">
        <f t="shared" si="88"/>
        <v>0</v>
      </c>
      <c r="J121" s="16">
        <f t="shared" si="89"/>
        <v>0</v>
      </c>
      <c r="K121" s="16">
        <f t="shared" si="90"/>
        <v>0</v>
      </c>
      <c r="L121" s="27" t="s">
        <v>922</v>
      </c>
      <c r="Z121" s="33">
        <f t="shared" si="91"/>
        <v>0</v>
      </c>
      <c r="AB121" s="33">
        <f t="shared" si="92"/>
        <v>0</v>
      </c>
      <c r="AC121" s="33">
        <f t="shared" si="93"/>
        <v>0</v>
      </c>
      <c r="AD121" s="33">
        <f t="shared" si="94"/>
        <v>0</v>
      </c>
      <c r="AE121" s="33">
        <f t="shared" si="95"/>
        <v>0</v>
      </c>
      <c r="AF121" s="33">
        <f t="shared" si="96"/>
        <v>0</v>
      </c>
      <c r="AG121" s="33">
        <f t="shared" si="97"/>
        <v>0</v>
      </c>
      <c r="AH121" s="33">
        <f t="shared" si="98"/>
        <v>0</v>
      </c>
      <c r="AI121" s="28"/>
      <c r="AJ121" s="16">
        <f t="shared" si="99"/>
        <v>0</v>
      </c>
      <c r="AK121" s="16">
        <f t="shared" si="100"/>
        <v>0</v>
      </c>
      <c r="AL121" s="16">
        <f t="shared" si="101"/>
        <v>0</v>
      </c>
      <c r="AN121" s="33">
        <v>21</v>
      </c>
      <c r="AO121" s="33">
        <f>H121*0.771881918819188</f>
        <v>0</v>
      </c>
      <c r="AP121" s="33">
        <f>H121*(1-0.771881918819188)</f>
        <v>0</v>
      </c>
      <c r="AQ121" s="27" t="s">
        <v>11</v>
      </c>
      <c r="AV121" s="33">
        <f t="shared" si="102"/>
        <v>0</v>
      </c>
      <c r="AW121" s="33">
        <f t="shared" si="103"/>
        <v>0</v>
      </c>
      <c r="AX121" s="33">
        <f t="shared" si="104"/>
        <v>0</v>
      </c>
      <c r="AY121" s="34" t="s">
        <v>953</v>
      </c>
      <c r="AZ121" s="34" t="s">
        <v>1000</v>
      </c>
      <c r="BA121" s="28" t="s">
        <v>1007</v>
      </c>
      <c r="BC121" s="33">
        <f t="shared" si="105"/>
        <v>0</v>
      </c>
      <c r="BD121" s="33">
        <f t="shared" si="106"/>
        <v>0</v>
      </c>
      <c r="BE121" s="33">
        <v>0</v>
      </c>
      <c r="BF121" s="33">
        <f>125</f>
        <v>125</v>
      </c>
      <c r="BH121" s="16">
        <f t="shared" si="107"/>
        <v>0</v>
      </c>
      <c r="BI121" s="16">
        <f t="shared" si="108"/>
        <v>0</v>
      </c>
      <c r="BJ121" s="16">
        <f t="shared" si="109"/>
        <v>0</v>
      </c>
    </row>
    <row r="122" spans="1:62" ht="12.75">
      <c r="A122" s="4" t="s">
        <v>99</v>
      </c>
      <c r="B122" s="4" t="s">
        <v>371</v>
      </c>
      <c r="C122" s="107" t="s">
        <v>686</v>
      </c>
      <c r="D122" s="108"/>
      <c r="E122" s="108"/>
      <c r="F122" s="4" t="s">
        <v>896</v>
      </c>
      <c r="G122" s="16">
        <v>2</v>
      </c>
      <c r="H122" s="16">
        <v>0</v>
      </c>
      <c r="I122" s="16">
        <f t="shared" si="88"/>
        <v>0</v>
      </c>
      <c r="J122" s="16">
        <f t="shared" si="89"/>
        <v>0</v>
      </c>
      <c r="K122" s="16">
        <f t="shared" si="90"/>
        <v>0</v>
      </c>
      <c r="L122" s="27" t="s">
        <v>922</v>
      </c>
      <c r="Z122" s="33">
        <f t="shared" si="91"/>
        <v>0</v>
      </c>
      <c r="AB122" s="33">
        <f t="shared" si="92"/>
        <v>0</v>
      </c>
      <c r="AC122" s="33">
        <f t="shared" si="93"/>
        <v>0</v>
      </c>
      <c r="AD122" s="33">
        <f t="shared" si="94"/>
        <v>0</v>
      </c>
      <c r="AE122" s="33">
        <f t="shared" si="95"/>
        <v>0</v>
      </c>
      <c r="AF122" s="33">
        <f t="shared" si="96"/>
        <v>0</v>
      </c>
      <c r="AG122" s="33">
        <f t="shared" si="97"/>
        <v>0</v>
      </c>
      <c r="AH122" s="33">
        <f t="shared" si="98"/>
        <v>0</v>
      </c>
      <c r="AI122" s="28"/>
      <c r="AJ122" s="16">
        <f t="shared" si="99"/>
        <v>0</v>
      </c>
      <c r="AK122" s="16">
        <f t="shared" si="100"/>
        <v>0</v>
      </c>
      <c r="AL122" s="16">
        <f t="shared" si="101"/>
        <v>0</v>
      </c>
      <c r="AN122" s="33">
        <v>21</v>
      </c>
      <c r="AO122" s="33">
        <f>H122*0.774162214667314</f>
        <v>0</v>
      </c>
      <c r="AP122" s="33">
        <f>H122*(1-0.774162214667314)</f>
        <v>0</v>
      </c>
      <c r="AQ122" s="27" t="s">
        <v>11</v>
      </c>
      <c r="AV122" s="33">
        <f t="shared" si="102"/>
        <v>0</v>
      </c>
      <c r="AW122" s="33">
        <f t="shared" si="103"/>
        <v>0</v>
      </c>
      <c r="AX122" s="33">
        <f t="shared" si="104"/>
        <v>0</v>
      </c>
      <c r="AY122" s="34" t="s">
        <v>953</v>
      </c>
      <c r="AZ122" s="34" t="s">
        <v>1000</v>
      </c>
      <c r="BA122" s="28" t="s">
        <v>1007</v>
      </c>
      <c r="BC122" s="33">
        <f t="shared" si="105"/>
        <v>0</v>
      </c>
      <c r="BD122" s="33">
        <f t="shared" si="106"/>
        <v>0</v>
      </c>
      <c r="BE122" s="33">
        <v>0</v>
      </c>
      <c r="BF122" s="33">
        <f>126</f>
        <v>126</v>
      </c>
      <c r="BH122" s="16">
        <f t="shared" si="107"/>
        <v>0</v>
      </c>
      <c r="BI122" s="16">
        <f t="shared" si="108"/>
        <v>0</v>
      </c>
      <c r="BJ122" s="16">
        <f t="shared" si="109"/>
        <v>0</v>
      </c>
    </row>
    <row r="123" spans="1:62" ht="12.75">
      <c r="A123" s="4" t="s">
        <v>100</v>
      </c>
      <c r="B123" s="4" t="s">
        <v>372</v>
      </c>
      <c r="C123" s="107" t="s">
        <v>687</v>
      </c>
      <c r="D123" s="108"/>
      <c r="E123" s="108"/>
      <c r="F123" s="4" t="s">
        <v>896</v>
      </c>
      <c r="G123" s="16">
        <v>2</v>
      </c>
      <c r="H123" s="16">
        <v>0</v>
      </c>
      <c r="I123" s="16">
        <f t="shared" si="88"/>
        <v>0</v>
      </c>
      <c r="J123" s="16">
        <f t="shared" si="89"/>
        <v>0</v>
      </c>
      <c r="K123" s="16">
        <f t="shared" si="90"/>
        <v>0</v>
      </c>
      <c r="L123" s="27" t="s">
        <v>922</v>
      </c>
      <c r="Z123" s="33">
        <f t="shared" si="91"/>
        <v>0</v>
      </c>
      <c r="AB123" s="33">
        <f t="shared" si="92"/>
        <v>0</v>
      </c>
      <c r="AC123" s="33">
        <f t="shared" si="93"/>
        <v>0</v>
      </c>
      <c r="AD123" s="33">
        <f t="shared" si="94"/>
        <v>0</v>
      </c>
      <c r="AE123" s="33">
        <f t="shared" si="95"/>
        <v>0</v>
      </c>
      <c r="AF123" s="33">
        <f t="shared" si="96"/>
        <v>0</v>
      </c>
      <c r="AG123" s="33">
        <f t="shared" si="97"/>
        <v>0</v>
      </c>
      <c r="AH123" s="33">
        <f t="shared" si="98"/>
        <v>0</v>
      </c>
      <c r="AI123" s="28"/>
      <c r="AJ123" s="16">
        <f t="shared" si="99"/>
        <v>0</v>
      </c>
      <c r="AK123" s="16">
        <f t="shared" si="100"/>
        <v>0</v>
      </c>
      <c r="AL123" s="16">
        <f t="shared" si="101"/>
        <v>0</v>
      </c>
      <c r="AN123" s="33">
        <v>21</v>
      </c>
      <c r="AO123" s="33">
        <f>H123*0.915173241852487</f>
        <v>0</v>
      </c>
      <c r="AP123" s="33">
        <f>H123*(1-0.915173241852487)</f>
        <v>0</v>
      </c>
      <c r="AQ123" s="27" t="s">
        <v>11</v>
      </c>
      <c r="AV123" s="33">
        <f t="shared" si="102"/>
        <v>0</v>
      </c>
      <c r="AW123" s="33">
        <f t="shared" si="103"/>
        <v>0</v>
      </c>
      <c r="AX123" s="33">
        <f t="shared" si="104"/>
        <v>0</v>
      </c>
      <c r="AY123" s="34" t="s">
        <v>953</v>
      </c>
      <c r="AZ123" s="34" t="s">
        <v>1000</v>
      </c>
      <c r="BA123" s="28" t="s">
        <v>1007</v>
      </c>
      <c r="BC123" s="33">
        <f t="shared" si="105"/>
        <v>0</v>
      </c>
      <c r="BD123" s="33">
        <f t="shared" si="106"/>
        <v>0</v>
      </c>
      <c r="BE123" s="33">
        <v>0</v>
      </c>
      <c r="BF123" s="33">
        <f>127</f>
        <v>127</v>
      </c>
      <c r="BH123" s="16">
        <f t="shared" si="107"/>
        <v>0</v>
      </c>
      <c r="BI123" s="16">
        <f t="shared" si="108"/>
        <v>0</v>
      </c>
      <c r="BJ123" s="16">
        <f t="shared" si="109"/>
        <v>0</v>
      </c>
    </row>
    <row r="124" spans="1:47" ht="12.75">
      <c r="A124" s="5"/>
      <c r="B124" s="13" t="s">
        <v>373</v>
      </c>
      <c r="C124" s="109" t="s">
        <v>688</v>
      </c>
      <c r="D124" s="110"/>
      <c r="E124" s="110"/>
      <c r="F124" s="5" t="s">
        <v>6</v>
      </c>
      <c r="G124" s="5" t="s">
        <v>6</v>
      </c>
      <c r="H124" s="5" t="s">
        <v>6</v>
      </c>
      <c r="I124" s="36">
        <f>SUM(I125:I137)</f>
        <v>0</v>
      </c>
      <c r="J124" s="36">
        <f>SUM(J125:J137)</f>
        <v>0</v>
      </c>
      <c r="K124" s="36">
        <f>SUM(K125:K137)</f>
        <v>0</v>
      </c>
      <c r="L124" s="28"/>
      <c r="AI124" s="28"/>
      <c r="AS124" s="36">
        <f>SUM(AJ125:AJ137)</f>
        <v>0</v>
      </c>
      <c r="AT124" s="36">
        <f>SUM(AK125:AK137)</f>
        <v>0</v>
      </c>
      <c r="AU124" s="36">
        <f>SUM(AL125:AL137)</f>
        <v>0</v>
      </c>
    </row>
    <row r="125" spans="1:62" ht="12.75">
      <c r="A125" s="4" t="s">
        <v>101</v>
      </c>
      <c r="B125" s="4" t="s">
        <v>374</v>
      </c>
      <c r="C125" s="107" t="s">
        <v>689</v>
      </c>
      <c r="D125" s="108"/>
      <c r="E125" s="108"/>
      <c r="F125" s="4" t="s">
        <v>899</v>
      </c>
      <c r="G125" s="16">
        <v>36</v>
      </c>
      <c r="H125" s="16">
        <v>0</v>
      </c>
      <c r="I125" s="16">
        <f aca="true" t="shared" si="110" ref="I125:I137">G125*AO125</f>
        <v>0</v>
      </c>
      <c r="J125" s="16">
        <f aca="true" t="shared" si="111" ref="J125:J137">G125*AP125</f>
        <v>0</v>
      </c>
      <c r="K125" s="16">
        <f aca="true" t="shared" si="112" ref="K125:K137">G125*H125</f>
        <v>0</v>
      </c>
      <c r="L125" s="27" t="s">
        <v>922</v>
      </c>
      <c r="Z125" s="33">
        <f aca="true" t="shared" si="113" ref="Z125:Z137">IF(AQ125="5",BJ125,0)</f>
        <v>0</v>
      </c>
      <c r="AB125" s="33">
        <f aca="true" t="shared" si="114" ref="AB125:AB137">IF(AQ125="1",BH125,0)</f>
        <v>0</v>
      </c>
      <c r="AC125" s="33">
        <f aca="true" t="shared" si="115" ref="AC125:AC137">IF(AQ125="1",BI125,0)</f>
        <v>0</v>
      </c>
      <c r="AD125" s="33">
        <f aca="true" t="shared" si="116" ref="AD125:AD137">IF(AQ125="7",BH125,0)</f>
        <v>0</v>
      </c>
      <c r="AE125" s="33">
        <f aca="true" t="shared" si="117" ref="AE125:AE137">IF(AQ125="7",BI125,0)</f>
        <v>0</v>
      </c>
      <c r="AF125" s="33">
        <f aca="true" t="shared" si="118" ref="AF125:AF137">IF(AQ125="2",BH125,0)</f>
        <v>0</v>
      </c>
      <c r="AG125" s="33">
        <f aca="true" t="shared" si="119" ref="AG125:AG137">IF(AQ125="2",BI125,0)</f>
        <v>0</v>
      </c>
      <c r="AH125" s="33">
        <f aca="true" t="shared" si="120" ref="AH125:AH137">IF(AQ125="0",BJ125,0)</f>
        <v>0</v>
      </c>
      <c r="AI125" s="28"/>
      <c r="AJ125" s="16">
        <f aca="true" t="shared" si="121" ref="AJ125:AJ137">IF(AN125=0,K125,0)</f>
        <v>0</v>
      </c>
      <c r="AK125" s="16">
        <f aca="true" t="shared" si="122" ref="AK125:AK137">IF(AN125=15,K125,0)</f>
        <v>0</v>
      </c>
      <c r="AL125" s="16">
        <f aca="true" t="shared" si="123" ref="AL125:AL137">IF(AN125=21,K125,0)</f>
        <v>0</v>
      </c>
      <c r="AN125" s="33">
        <v>21</v>
      </c>
      <c r="AO125" s="33">
        <f>H125*0.215015576323988</f>
        <v>0</v>
      </c>
      <c r="AP125" s="33">
        <f>H125*(1-0.215015576323988)</f>
        <v>0</v>
      </c>
      <c r="AQ125" s="27" t="s">
        <v>11</v>
      </c>
      <c r="AV125" s="33">
        <f aca="true" t="shared" si="124" ref="AV125:AV137">AW125+AX125</f>
        <v>0</v>
      </c>
      <c r="AW125" s="33">
        <f aca="true" t="shared" si="125" ref="AW125:AW137">G125*AO125</f>
        <v>0</v>
      </c>
      <c r="AX125" s="33">
        <f aca="true" t="shared" si="126" ref="AX125:AX137">G125*AP125</f>
        <v>0</v>
      </c>
      <c r="AY125" s="34" t="s">
        <v>954</v>
      </c>
      <c r="AZ125" s="34" t="s">
        <v>1000</v>
      </c>
      <c r="BA125" s="28" t="s">
        <v>1007</v>
      </c>
      <c r="BC125" s="33">
        <f aca="true" t="shared" si="127" ref="BC125:BC137">AW125+AX125</f>
        <v>0</v>
      </c>
      <c r="BD125" s="33">
        <f aca="true" t="shared" si="128" ref="BD125:BD137">H125/(100-BE125)*100</f>
        <v>0</v>
      </c>
      <c r="BE125" s="33">
        <v>0</v>
      </c>
      <c r="BF125" s="33">
        <f>129</f>
        <v>129</v>
      </c>
      <c r="BH125" s="16">
        <f aca="true" t="shared" si="129" ref="BH125:BH137">G125*AO125</f>
        <v>0</v>
      </c>
      <c r="BI125" s="16">
        <f aca="true" t="shared" si="130" ref="BI125:BI137">G125*AP125</f>
        <v>0</v>
      </c>
      <c r="BJ125" s="16">
        <f aca="true" t="shared" si="131" ref="BJ125:BJ137">G125*H125</f>
        <v>0</v>
      </c>
    </row>
    <row r="126" spans="1:62" ht="12.75">
      <c r="A126" s="4" t="s">
        <v>102</v>
      </c>
      <c r="B126" s="4" t="s">
        <v>375</v>
      </c>
      <c r="C126" s="107" t="s">
        <v>690</v>
      </c>
      <c r="D126" s="108"/>
      <c r="E126" s="108"/>
      <c r="F126" s="4" t="s">
        <v>899</v>
      </c>
      <c r="G126" s="16">
        <v>36</v>
      </c>
      <c r="H126" s="16">
        <v>0</v>
      </c>
      <c r="I126" s="16">
        <f t="shared" si="110"/>
        <v>0</v>
      </c>
      <c r="J126" s="16">
        <f t="shared" si="111"/>
        <v>0</v>
      </c>
      <c r="K126" s="16">
        <f t="shared" si="112"/>
        <v>0</v>
      </c>
      <c r="L126" s="27" t="s">
        <v>922</v>
      </c>
      <c r="Z126" s="33">
        <f t="shared" si="113"/>
        <v>0</v>
      </c>
      <c r="AB126" s="33">
        <f t="shared" si="114"/>
        <v>0</v>
      </c>
      <c r="AC126" s="33">
        <f t="shared" si="115"/>
        <v>0</v>
      </c>
      <c r="AD126" s="33">
        <f t="shared" si="116"/>
        <v>0</v>
      </c>
      <c r="AE126" s="33">
        <f t="shared" si="117"/>
        <v>0</v>
      </c>
      <c r="AF126" s="33">
        <f t="shared" si="118"/>
        <v>0</v>
      </c>
      <c r="AG126" s="33">
        <f t="shared" si="119"/>
        <v>0</v>
      </c>
      <c r="AH126" s="33">
        <f t="shared" si="120"/>
        <v>0</v>
      </c>
      <c r="AI126" s="28"/>
      <c r="AJ126" s="16">
        <f t="shared" si="121"/>
        <v>0</v>
      </c>
      <c r="AK126" s="16">
        <f t="shared" si="122"/>
        <v>0</v>
      </c>
      <c r="AL126" s="16">
        <f t="shared" si="123"/>
        <v>0</v>
      </c>
      <c r="AN126" s="33">
        <v>21</v>
      </c>
      <c r="AO126" s="33">
        <f>H126*0.227993874425727</f>
        <v>0</v>
      </c>
      <c r="AP126" s="33">
        <f>H126*(1-0.227993874425727)</f>
        <v>0</v>
      </c>
      <c r="AQ126" s="27" t="s">
        <v>11</v>
      </c>
      <c r="AV126" s="33">
        <f t="shared" si="124"/>
        <v>0</v>
      </c>
      <c r="AW126" s="33">
        <f t="shared" si="125"/>
        <v>0</v>
      </c>
      <c r="AX126" s="33">
        <f t="shared" si="126"/>
        <v>0</v>
      </c>
      <c r="AY126" s="34" t="s">
        <v>954</v>
      </c>
      <c r="AZ126" s="34" t="s">
        <v>1000</v>
      </c>
      <c r="BA126" s="28" t="s">
        <v>1007</v>
      </c>
      <c r="BC126" s="33">
        <f t="shared" si="127"/>
        <v>0</v>
      </c>
      <c r="BD126" s="33">
        <f t="shared" si="128"/>
        <v>0</v>
      </c>
      <c r="BE126" s="33">
        <v>0</v>
      </c>
      <c r="BF126" s="33">
        <f>130</f>
        <v>130</v>
      </c>
      <c r="BH126" s="16">
        <f t="shared" si="129"/>
        <v>0</v>
      </c>
      <c r="BI126" s="16">
        <f t="shared" si="130"/>
        <v>0</v>
      </c>
      <c r="BJ126" s="16">
        <f t="shared" si="131"/>
        <v>0</v>
      </c>
    </row>
    <row r="127" spans="1:62" ht="12.75">
      <c r="A127" s="4" t="s">
        <v>103</v>
      </c>
      <c r="B127" s="4" t="s">
        <v>376</v>
      </c>
      <c r="C127" s="107" t="s">
        <v>691</v>
      </c>
      <c r="D127" s="108"/>
      <c r="E127" s="108"/>
      <c r="F127" s="4" t="s">
        <v>896</v>
      </c>
      <c r="G127" s="16">
        <v>8</v>
      </c>
      <c r="H127" s="16">
        <v>0</v>
      </c>
      <c r="I127" s="16">
        <f t="shared" si="110"/>
        <v>0</v>
      </c>
      <c r="J127" s="16">
        <f t="shared" si="111"/>
        <v>0</v>
      </c>
      <c r="K127" s="16">
        <f t="shared" si="112"/>
        <v>0</v>
      </c>
      <c r="L127" s="27" t="s">
        <v>922</v>
      </c>
      <c r="Z127" s="33">
        <f t="shared" si="113"/>
        <v>0</v>
      </c>
      <c r="AB127" s="33">
        <f t="shared" si="114"/>
        <v>0</v>
      </c>
      <c r="AC127" s="33">
        <f t="shared" si="115"/>
        <v>0</v>
      </c>
      <c r="AD127" s="33">
        <f t="shared" si="116"/>
        <v>0</v>
      </c>
      <c r="AE127" s="33">
        <f t="shared" si="117"/>
        <v>0</v>
      </c>
      <c r="AF127" s="33">
        <f t="shared" si="118"/>
        <v>0</v>
      </c>
      <c r="AG127" s="33">
        <f t="shared" si="119"/>
        <v>0</v>
      </c>
      <c r="AH127" s="33">
        <f t="shared" si="120"/>
        <v>0</v>
      </c>
      <c r="AI127" s="28"/>
      <c r="AJ127" s="16">
        <f t="shared" si="121"/>
        <v>0</v>
      </c>
      <c r="AK127" s="16">
        <f t="shared" si="122"/>
        <v>0</v>
      </c>
      <c r="AL127" s="16">
        <f t="shared" si="123"/>
        <v>0</v>
      </c>
      <c r="AN127" s="33">
        <v>21</v>
      </c>
      <c r="AO127" s="33">
        <f>H127*0.363462532299742</f>
        <v>0</v>
      </c>
      <c r="AP127" s="33">
        <f>H127*(1-0.363462532299742)</f>
        <v>0</v>
      </c>
      <c r="AQ127" s="27" t="s">
        <v>11</v>
      </c>
      <c r="AV127" s="33">
        <f t="shared" si="124"/>
        <v>0</v>
      </c>
      <c r="AW127" s="33">
        <f t="shared" si="125"/>
        <v>0</v>
      </c>
      <c r="AX127" s="33">
        <f t="shared" si="126"/>
        <v>0</v>
      </c>
      <c r="AY127" s="34" t="s">
        <v>954</v>
      </c>
      <c r="AZ127" s="34" t="s">
        <v>1000</v>
      </c>
      <c r="BA127" s="28" t="s">
        <v>1007</v>
      </c>
      <c r="BC127" s="33">
        <f t="shared" si="127"/>
        <v>0</v>
      </c>
      <c r="BD127" s="33">
        <f t="shared" si="128"/>
        <v>0</v>
      </c>
      <c r="BE127" s="33">
        <v>0</v>
      </c>
      <c r="BF127" s="33">
        <f>131</f>
        <v>131</v>
      </c>
      <c r="BH127" s="16">
        <f t="shared" si="129"/>
        <v>0</v>
      </c>
      <c r="BI127" s="16">
        <f t="shared" si="130"/>
        <v>0</v>
      </c>
      <c r="BJ127" s="16">
        <f t="shared" si="131"/>
        <v>0</v>
      </c>
    </row>
    <row r="128" spans="1:62" ht="12.75">
      <c r="A128" s="4" t="s">
        <v>104</v>
      </c>
      <c r="B128" s="4" t="s">
        <v>377</v>
      </c>
      <c r="C128" s="107" t="s">
        <v>692</v>
      </c>
      <c r="D128" s="108"/>
      <c r="E128" s="108"/>
      <c r="F128" s="4" t="s">
        <v>898</v>
      </c>
      <c r="G128" s="16">
        <v>0</v>
      </c>
      <c r="H128" s="16">
        <v>0</v>
      </c>
      <c r="I128" s="16">
        <f t="shared" si="110"/>
        <v>0</v>
      </c>
      <c r="J128" s="16">
        <f t="shared" si="111"/>
        <v>0</v>
      </c>
      <c r="K128" s="16">
        <f t="shared" si="112"/>
        <v>0</v>
      </c>
      <c r="L128" s="27" t="s">
        <v>922</v>
      </c>
      <c r="Z128" s="33">
        <f t="shared" si="113"/>
        <v>0</v>
      </c>
      <c r="AB128" s="33">
        <f t="shared" si="114"/>
        <v>0</v>
      </c>
      <c r="AC128" s="33">
        <f t="shared" si="115"/>
        <v>0</v>
      </c>
      <c r="AD128" s="33">
        <f t="shared" si="116"/>
        <v>0</v>
      </c>
      <c r="AE128" s="33">
        <f t="shared" si="117"/>
        <v>0</v>
      </c>
      <c r="AF128" s="33">
        <f t="shared" si="118"/>
        <v>0</v>
      </c>
      <c r="AG128" s="33">
        <f t="shared" si="119"/>
        <v>0</v>
      </c>
      <c r="AH128" s="33">
        <f t="shared" si="120"/>
        <v>0</v>
      </c>
      <c r="AI128" s="28"/>
      <c r="AJ128" s="16">
        <f t="shared" si="121"/>
        <v>0</v>
      </c>
      <c r="AK128" s="16">
        <f t="shared" si="122"/>
        <v>0</v>
      </c>
      <c r="AL128" s="16">
        <f t="shared" si="123"/>
        <v>0</v>
      </c>
      <c r="AN128" s="33">
        <v>21</v>
      </c>
      <c r="AO128" s="33">
        <f>H128*0</f>
        <v>0</v>
      </c>
      <c r="AP128" s="33">
        <f>H128*(1-0)</f>
        <v>0</v>
      </c>
      <c r="AQ128" s="27" t="s">
        <v>11</v>
      </c>
      <c r="AV128" s="33">
        <f t="shared" si="124"/>
        <v>0</v>
      </c>
      <c r="AW128" s="33">
        <f t="shared" si="125"/>
        <v>0</v>
      </c>
      <c r="AX128" s="33">
        <f t="shared" si="126"/>
        <v>0</v>
      </c>
      <c r="AY128" s="34" t="s">
        <v>954</v>
      </c>
      <c r="AZ128" s="34" t="s">
        <v>1000</v>
      </c>
      <c r="BA128" s="28" t="s">
        <v>1007</v>
      </c>
      <c r="BC128" s="33">
        <f t="shared" si="127"/>
        <v>0</v>
      </c>
      <c r="BD128" s="33">
        <f t="shared" si="128"/>
        <v>0</v>
      </c>
      <c r="BE128" s="33">
        <v>0</v>
      </c>
      <c r="BF128" s="33">
        <f>132</f>
        <v>132</v>
      </c>
      <c r="BH128" s="16">
        <f t="shared" si="129"/>
        <v>0</v>
      </c>
      <c r="BI128" s="16">
        <f t="shared" si="130"/>
        <v>0</v>
      </c>
      <c r="BJ128" s="16">
        <f t="shared" si="131"/>
        <v>0</v>
      </c>
    </row>
    <row r="129" spans="1:62" ht="12.75">
      <c r="A129" s="4" t="s">
        <v>105</v>
      </c>
      <c r="B129" s="4" t="s">
        <v>378</v>
      </c>
      <c r="C129" s="107" t="s">
        <v>693</v>
      </c>
      <c r="D129" s="108"/>
      <c r="E129" s="108"/>
      <c r="F129" s="4" t="s">
        <v>901</v>
      </c>
      <c r="G129" s="16">
        <v>1</v>
      </c>
      <c r="H129" s="16">
        <v>0</v>
      </c>
      <c r="I129" s="16">
        <f t="shared" si="110"/>
        <v>0</v>
      </c>
      <c r="J129" s="16">
        <f t="shared" si="111"/>
        <v>0</v>
      </c>
      <c r="K129" s="16">
        <f t="shared" si="112"/>
        <v>0</v>
      </c>
      <c r="L129" s="27" t="s">
        <v>922</v>
      </c>
      <c r="Z129" s="33">
        <f t="shared" si="113"/>
        <v>0</v>
      </c>
      <c r="AB129" s="33">
        <f t="shared" si="114"/>
        <v>0</v>
      </c>
      <c r="AC129" s="33">
        <f t="shared" si="115"/>
        <v>0</v>
      </c>
      <c r="AD129" s="33">
        <f t="shared" si="116"/>
        <v>0</v>
      </c>
      <c r="AE129" s="33">
        <f t="shared" si="117"/>
        <v>0</v>
      </c>
      <c r="AF129" s="33">
        <f t="shared" si="118"/>
        <v>0</v>
      </c>
      <c r="AG129" s="33">
        <f t="shared" si="119"/>
        <v>0</v>
      </c>
      <c r="AH129" s="33">
        <f t="shared" si="120"/>
        <v>0</v>
      </c>
      <c r="AI129" s="28"/>
      <c r="AJ129" s="16">
        <f t="shared" si="121"/>
        <v>0</v>
      </c>
      <c r="AK129" s="16">
        <f t="shared" si="122"/>
        <v>0</v>
      </c>
      <c r="AL129" s="16">
        <f t="shared" si="123"/>
        <v>0</v>
      </c>
      <c r="AN129" s="33">
        <v>21</v>
      </c>
      <c r="AO129" s="33">
        <f>H129*0.203089430894309</f>
        <v>0</v>
      </c>
      <c r="AP129" s="33">
        <f>H129*(1-0.203089430894309)</f>
        <v>0</v>
      </c>
      <c r="AQ129" s="27" t="s">
        <v>11</v>
      </c>
      <c r="AV129" s="33">
        <f t="shared" si="124"/>
        <v>0</v>
      </c>
      <c r="AW129" s="33">
        <f t="shared" si="125"/>
        <v>0</v>
      </c>
      <c r="AX129" s="33">
        <f t="shared" si="126"/>
        <v>0</v>
      </c>
      <c r="AY129" s="34" t="s">
        <v>954</v>
      </c>
      <c r="AZ129" s="34" t="s">
        <v>1000</v>
      </c>
      <c r="BA129" s="28" t="s">
        <v>1007</v>
      </c>
      <c r="BC129" s="33">
        <f t="shared" si="127"/>
        <v>0</v>
      </c>
      <c r="BD129" s="33">
        <f t="shared" si="128"/>
        <v>0</v>
      </c>
      <c r="BE129" s="33">
        <v>0</v>
      </c>
      <c r="BF129" s="33">
        <f>133</f>
        <v>133</v>
      </c>
      <c r="BH129" s="16">
        <f t="shared" si="129"/>
        <v>0</v>
      </c>
      <c r="BI129" s="16">
        <f t="shared" si="130"/>
        <v>0</v>
      </c>
      <c r="BJ129" s="16">
        <f t="shared" si="131"/>
        <v>0</v>
      </c>
    </row>
    <row r="130" spans="1:62" ht="12.75">
      <c r="A130" s="4" t="s">
        <v>106</v>
      </c>
      <c r="B130" s="4" t="s">
        <v>379</v>
      </c>
      <c r="C130" s="107" t="s">
        <v>694</v>
      </c>
      <c r="D130" s="108"/>
      <c r="E130" s="108"/>
      <c r="F130" s="4" t="s">
        <v>899</v>
      </c>
      <c r="G130" s="16">
        <v>12</v>
      </c>
      <c r="H130" s="16">
        <v>0</v>
      </c>
      <c r="I130" s="16">
        <f t="shared" si="110"/>
        <v>0</v>
      </c>
      <c r="J130" s="16">
        <f t="shared" si="111"/>
        <v>0</v>
      </c>
      <c r="K130" s="16">
        <f t="shared" si="112"/>
        <v>0</v>
      </c>
      <c r="L130" s="27" t="s">
        <v>922</v>
      </c>
      <c r="Z130" s="33">
        <f t="shared" si="113"/>
        <v>0</v>
      </c>
      <c r="AB130" s="33">
        <f t="shared" si="114"/>
        <v>0</v>
      </c>
      <c r="AC130" s="33">
        <f t="shared" si="115"/>
        <v>0</v>
      </c>
      <c r="AD130" s="33">
        <f t="shared" si="116"/>
        <v>0</v>
      </c>
      <c r="AE130" s="33">
        <f t="shared" si="117"/>
        <v>0</v>
      </c>
      <c r="AF130" s="33">
        <f t="shared" si="118"/>
        <v>0</v>
      </c>
      <c r="AG130" s="33">
        <f t="shared" si="119"/>
        <v>0</v>
      </c>
      <c r="AH130" s="33">
        <f t="shared" si="120"/>
        <v>0</v>
      </c>
      <c r="AI130" s="28"/>
      <c r="AJ130" s="16">
        <f t="shared" si="121"/>
        <v>0</v>
      </c>
      <c r="AK130" s="16">
        <f t="shared" si="122"/>
        <v>0</v>
      </c>
      <c r="AL130" s="16">
        <f t="shared" si="123"/>
        <v>0</v>
      </c>
      <c r="AN130" s="33">
        <v>21</v>
      </c>
      <c r="AO130" s="33">
        <f>H130*0.23966537966538</f>
        <v>0</v>
      </c>
      <c r="AP130" s="33">
        <f>H130*(1-0.23966537966538)</f>
        <v>0</v>
      </c>
      <c r="AQ130" s="27" t="s">
        <v>11</v>
      </c>
      <c r="AV130" s="33">
        <f t="shared" si="124"/>
        <v>0</v>
      </c>
      <c r="AW130" s="33">
        <f t="shared" si="125"/>
        <v>0</v>
      </c>
      <c r="AX130" s="33">
        <f t="shared" si="126"/>
        <v>0</v>
      </c>
      <c r="AY130" s="34" t="s">
        <v>954</v>
      </c>
      <c r="AZ130" s="34" t="s">
        <v>1000</v>
      </c>
      <c r="BA130" s="28" t="s">
        <v>1007</v>
      </c>
      <c r="BC130" s="33">
        <f t="shared" si="127"/>
        <v>0</v>
      </c>
      <c r="BD130" s="33">
        <f t="shared" si="128"/>
        <v>0</v>
      </c>
      <c r="BE130" s="33">
        <v>0</v>
      </c>
      <c r="BF130" s="33">
        <f>134</f>
        <v>134</v>
      </c>
      <c r="BH130" s="16">
        <f t="shared" si="129"/>
        <v>0</v>
      </c>
      <c r="BI130" s="16">
        <f t="shared" si="130"/>
        <v>0</v>
      </c>
      <c r="BJ130" s="16">
        <f t="shared" si="131"/>
        <v>0</v>
      </c>
    </row>
    <row r="131" spans="1:62" ht="12.75">
      <c r="A131" s="4" t="s">
        <v>107</v>
      </c>
      <c r="B131" s="4" t="s">
        <v>380</v>
      </c>
      <c r="C131" s="107" t="s">
        <v>695</v>
      </c>
      <c r="D131" s="108"/>
      <c r="E131" s="108"/>
      <c r="F131" s="4" t="s">
        <v>899</v>
      </c>
      <c r="G131" s="16">
        <v>12</v>
      </c>
      <c r="H131" s="16">
        <v>0</v>
      </c>
      <c r="I131" s="16">
        <f t="shared" si="110"/>
        <v>0</v>
      </c>
      <c r="J131" s="16">
        <f t="shared" si="111"/>
        <v>0</v>
      </c>
      <c r="K131" s="16">
        <f t="shared" si="112"/>
        <v>0</v>
      </c>
      <c r="L131" s="27" t="s">
        <v>922</v>
      </c>
      <c r="Z131" s="33">
        <f t="shared" si="113"/>
        <v>0</v>
      </c>
      <c r="AB131" s="33">
        <f t="shared" si="114"/>
        <v>0</v>
      </c>
      <c r="AC131" s="33">
        <f t="shared" si="115"/>
        <v>0</v>
      </c>
      <c r="AD131" s="33">
        <f t="shared" si="116"/>
        <v>0</v>
      </c>
      <c r="AE131" s="33">
        <f t="shared" si="117"/>
        <v>0</v>
      </c>
      <c r="AF131" s="33">
        <f t="shared" si="118"/>
        <v>0</v>
      </c>
      <c r="AG131" s="33">
        <f t="shared" si="119"/>
        <v>0</v>
      </c>
      <c r="AH131" s="33">
        <f t="shared" si="120"/>
        <v>0</v>
      </c>
      <c r="AI131" s="28"/>
      <c r="AJ131" s="16">
        <f t="shared" si="121"/>
        <v>0</v>
      </c>
      <c r="AK131" s="16">
        <f t="shared" si="122"/>
        <v>0</v>
      </c>
      <c r="AL131" s="16">
        <f t="shared" si="123"/>
        <v>0</v>
      </c>
      <c r="AN131" s="33">
        <v>21</v>
      </c>
      <c r="AO131" s="33">
        <f>H131*0.255037783375315</f>
        <v>0</v>
      </c>
      <c r="AP131" s="33">
        <f>H131*(1-0.255037783375315)</f>
        <v>0</v>
      </c>
      <c r="AQ131" s="27" t="s">
        <v>11</v>
      </c>
      <c r="AV131" s="33">
        <f t="shared" si="124"/>
        <v>0</v>
      </c>
      <c r="AW131" s="33">
        <f t="shared" si="125"/>
        <v>0</v>
      </c>
      <c r="AX131" s="33">
        <f t="shared" si="126"/>
        <v>0</v>
      </c>
      <c r="AY131" s="34" t="s">
        <v>954</v>
      </c>
      <c r="AZ131" s="34" t="s">
        <v>1000</v>
      </c>
      <c r="BA131" s="28" t="s">
        <v>1007</v>
      </c>
      <c r="BC131" s="33">
        <f t="shared" si="127"/>
        <v>0</v>
      </c>
      <c r="BD131" s="33">
        <f t="shared" si="128"/>
        <v>0</v>
      </c>
      <c r="BE131" s="33">
        <v>0</v>
      </c>
      <c r="BF131" s="33">
        <f>135</f>
        <v>135</v>
      </c>
      <c r="BH131" s="16">
        <f t="shared" si="129"/>
        <v>0</v>
      </c>
      <c r="BI131" s="16">
        <f t="shared" si="130"/>
        <v>0</v>
      </c>
      <c r="BJ131" s="16">
        <f t="shared" si="131"/>
        <v>0</v>
      </c>
    </row>
    <row r="132" spans="1:62" ht="12.75">
      <c r="A132" s="4" t="s">
        <v>108</v>
      </c>
      <c r="B132" s="4" t="s">
        <v>381</v>
      </c>
      <c r="C132" s="107" t="s">
        <v>696</v>
      </c>
      <c r="D132" s="108"/>
      <c r="E132" s="108"/>
      <c r="F132" s="4" t="s">
        <v>896</v>
      </c>
      <c r="G132" s="16">
        <v>4</v>
      </c>
      <c r="H132" s="16">
        <v>0</v>
      </c>
      <c r="I132" s="16">
        <f t="shared" si="110"/>
        <v>0</v>
      </c>
      <c r="J132" s="16">
        <f t="shared" si="111"/>
        <v>0</v>
      </c>
      <c r="K132" s="16">
        <f t="shared" si="112"/>
        <v>0</v>
      </c>
      <c r="L132" s="27" t="s">
        <v>922</v>
      </c>
      <c r="Z132" s="33">
        <f t="shared" si="113"/>
        <v>0</v>
      </c>
      <c r="AB132" s="33">
        <f t="shared" si="114"/>
        <v>0</v>
      </c>
      <c r="AC132" s="33">
        <f t="shared" si="115"/>
        <v>0</v>
      </c>
      <c r="AD132" s="33">
        <f t="shared" si="116"/>
        <v>0</v>
      </c>
      <c r="AE132" s="33">
        <f t="shared" si="117"/>
        <v>0</v>
      </c>
      <c r="AF132" s="33">
        <f t="shared" si="118"/>
        <v>0</v>
      </c>
      <c r="AG132" s="33">
        <f t="shared" si="119"/>
        <v>0</v>
      </c>
      <c r="AH132" s="33">
        <f t="shared" si="120"/>
        <v>0</v>
      </c>
      <c r="AI132" s="28"/>
      <c r="AJ132" s="16">
        <f t="shared" si="121"/>
        <v>0</v>
      </c>
      <c r="AK132" s="16">
        <f t="shared" si="122"/>
        <v>0</v>
      </c>
      <c r="AL132" s="16">
        <f t="shared" si="123"/>
        <v>0</v>
      </c>
      <c r="AN132" s="33">
        <v>21</v>
      </c>
      <c r="AO132" s="33">
        <f>H132*0.69867269984917</f>
        <v>0</v>
      </c>
      <c r="AP132" s="33">
        <f>H132*(1-0.69867269984917)</f>
        <v>0</v>
      </c>
      <c r="AQ132" s="27" t="s">
        <v>11</v>
      </c>
      <c r="AV132" s="33">
        <f t="shared" si="124"/>
        <v>0</v>
      </c>
      <c r="AW132" s="33">
        <f t="shared" si="125"/>
        <v>0</v>
      </c>
      <c r="AX132" s="33">
        <f t="shared" si="126"/>
        <v>0</v>
      </c>
      <c r="AY132" s="34" t="s">
        <v>954</v>
      </c>
      <c r="AZ132" s="34" t="s">
        <v>1000</v>
      </c>
      <c r="BA132" s="28" t="s">
        <v>1007</v>
      </c>
      <c r="BC132" s="33">
        <f t="shared" si="127"/>
        <v>0</v>
      </c>
      <c r="BD132" s="33">
        <f t="shared" si="128"/>
        <v>0</v>
      </c>
      <c r="BE132" s="33">
        <v>0</v>
      </c>
      <c r="BF132" s="33">
        <f>136</f>
        <v>136</v>
      </c>
      <c r="BH132" s="16">
        <f t="shared" si="129"/>
        <v>0</v>
      </c>
      <c r="BI132" s="16">
        <f t="shared" si="130"/>
        <v>0</v>
      </c>
      <c r="BJ132" s="16">
        <f t="shared" si="131"/>
        <v>0</v>
      </c>
    </row>
    <row r="133" spans="1:62" ht="12.75">
      <c r="A133" s="4" t="s">
        <v>109</v>
      </c>
      <c r="B133" s="4" t="s">
        <v>382</v>
      </c>
      <c r="C133" s="107" t="s">
        <v>697</v>
      </c>
      <c r="D133" s="108"/>
      <c r="E133" s="108"/>
      <c r="F133" s="4" t="s">
        <v>896</v>
      </c>
      <c r="G133" s="16">
        <v>4</v>
      </c>
      <c r="H133" s="16">
        <v>0</v>
      </c>
      <c r="I133" s="16">
        <f t="shared" si="110"/>
        <v>0</v>
      </c>
      <c r="J133" s="16">
        <f t="shared" si="111"/>
        <v>0</v>
      </c>
      <c r="K133" s="16">
        <f t="shared" si="112"/>
        <v>0</v>
      </c>
      <c r="L133" s="27" t="s">
        <v>922</v>
      </c>
      <c r="Z133" s="33">
        <f t="shared" si="113"/>
        <v>0</v>
      </c>
      <c r="AB133" s="33">
        <f t="shared" si="114"/>
        <v>0</v>
      </c>
      <c r="AC133" s="33">
        <f t="shared" si="115"/>
        <v>0</v>
      </c>
      <c r="AD133" s="33">
        <f t="shared" si="116"/>
        <v>0</v>
      </c>
      <c r="AE133" s="33">
        <f t="shared" si="117"/>
        <v>0</v>
      </c>
      <c r="AF133" s="33">
        <f t="shared" si="118"/>
        <v>0</v>
      </c>
      <c r="AG133" s="33">
        <f t="shared" si="119"/>
        <v>0</v>
      </c>
      <c r="AH133" s="33">
        <f t="shared" si="120"/>
        <v>0</v>
      </c>
      <c r="AI133" s="28"/>
      <c r="AJ133" s="16">
        <f t="shared" si="121"/>
        <v>0</v>
      </c>
      <c r="AK133" s="16">
        <f t="shared" si="122"/>
        <v>0</v>
      </c>
      <c r="AL133" s="16">
        <f t="shared" si="123"/>
        <v>0</v>
      </c>
      <c r="AN133" s="33">
        <v>21</v>
      </c>
      <c r="AO133" s="33">
        <f>H133*0.748883774453395</f>
        <v>0</v>
      </c>
      <c r="AP133" s="33">
        <f>H133*(1-0.748883774453395)</f>
        <v>0</v>
      </c>
      <c r="AQ133" s="27" t="s">
        <v>11</v>
      </c>
      <c r="AV133" s="33">
        <f t="shared" si="124"/>
        <v>0</v>
      </c>
      <c r="AW133" s="33">
        <f t="shared" si="125"/>
        <v>0</v>
      </c>
      <c r="AX133" s="33">
        <f t="shared" si="126"/>
        <v>0</v>
      </c>
      <c r="AY133" s="34" t="s">
        <v>954</v>
      </c>
      <c r="AZ133" s="34" t="s">
        <v>1000</v>
      </c>
      <c r="BA133" s="28" t="s">
        <v>1007</v>
      </c>
      <c r="BC133" s="33">
        <f t="shared" si="127"/>
        <v>0</v>
      </c>
      <c r="BD133" s="33">
        <f t="shared" si="128"/>
        <v>0</v>
      </c>
      <c r="BE133" s="33">
        <v>0</v>
      </c>
      <c r="BF133" s="33">
        <f>137</f>
        <v>137</v>
      </c>
      <c r="BH133" s="16">
        <f t="shared" si="129"/>
        <v>0</v>
      </c>
      <c r="BI133" s="16">
        <f t="shared" si="130"/>
        <v>0</v>
      </c>
      <c r="BJ133" s="16">
        <f t="shared" si="131"/>
        <v>0</v>
      </c>
    </row>
    <row r="134" spans="1:62" ht="12.75">
      <c r="A134" s="4" t="s">
        <v>110</v>
      </c>
      <c r="B134" s="4" t="s">
        <v>383</v>
      </c>
      <c r="C134" s="107" t="s">
        <v>698</v>
      </c>
      <c r="D134" s="108"/>
      <c r="E134" s="108"/>
      <c r="F134" s="4" t="s">
        <v>896</v>
      </c>
      <c r="G134" s="16">
        <v>2</v>
      </c>
      <c r="H134" s="16">
        <v>0</v>
      </c>
      <c r="I134" s="16">
        <f t="shared" si="110"/>
        <v>0</v>
      </c>
      <c r="J134" s="16">
        <f t="shared" si="111"/>
        <v>0</v>
      </c>
      <c r="K134" s="16">
        <f t="shared" si="112"/>
        <v>0</v>
      </c>
      <c r="L134" s="27" t="s">
        <v>922</v>
      </c>
      <c r="Z134" s="33">
        <f t="shared" si="113"/>
        <v>0</v>
      </c>
      <c r="AB134" s="33">
        <f t="shared" si="114"/>
        <v>0</v>
      </c>
      <c r="AC134" s="33">
        <f t="shared" si="115"/>
        <v>0</v>
      </c>
      <c r="AD134" s="33">
        <f t="shared" si="116"/>
        <v>0</v>
      </c>
      <c r="AE134" s="33">
        <f t="shared" si="117"/>
        <v>0</v>
      </c>
      <c r="AF134" s="33">
        <f t="shared" si="118"/>
        <v>0</v>
      </c>
      <c r="AG134" s="33">
        <f t="shared" si="119"/>
        <v>0</v>
      </c>
      <c r="AH134" s="33">
        <f t="shared" si="120"/>
        <v>0</v>
      </c>
      <c r="AI134" s="28"/>
      <c r="AJ134" s="16">
        <f t="shared" si="121"/>
        <v>0</v>
      </c>
      <c r="AK134" s="16">
        <f t="shared" si="122"/>
        <v>0</v>
      </c>
      <c r="AL134" s="16">
        <f t="shared" si="123"/>
        <v>0</v>
      </c>
      <c r="AN134" s="33">
        <v>21</v>
      </c>
      <c r="AO134" s="33">
        <f>H134*0.916293213828425</f>
        <v>0</v>
      </c>
      <c r="AP134" s="33">
        <f>H134*(1-0.916293213828425)</f>
        <v>0</v>
      </c>
      <c r="AQ134" s="27" t="s">
        <v>11</v>
      </c>
      <c r="AV134" s="33">
        <f t="shared" si="124"/>
        <v>0</v>
      </c>
      <c r="AW134" s="33">
        <f t="shared" si="125"/>
        <v>0</v>
      </c>
      <c r="AX134" s="33">
        <f t="shared" si="126"/>
        <v>0</v>
      </c>
      <c r="AY134" s="34" t="s">
        <v>954</v>
      </c>
      <c r="AZ134" s="34" t="s">
        <v>1000</v>
      </c>
      <c r="BA134" s="28" t="s">
        <v>1007</v>
      </c>
      <c r="BC134" s="33">
        <f t="shared" si="127"/>
        <v>0</v>
      </c>
      <c r="BD134" s="33">
        <f t="shared" si="128"/>
        <v>0</v>
      </c>
      <c r="BE134" s="33">
        <v>0</v>
      </c>
      <c r="BF134" s="33">
        <f>138</f>
        <v>138</v>
      </c>
      <c r="BH134" s="16">
        <f t="shared" si="129"/>
        <v>0</v>
      </c>
      <c r="BI134" s="16">
        <f t="shared" si="130"/>
        <v>0</v>
      </c>
      <c r="BJ134" s="16">
        <f t="shared" si="131"/>
        <v>0</v>
      </c>
    </row>
    <row r="135" spans="1:62" ht="12.75">
      <c r="A135" s="4" t="s">
        <v>111</v>
      </c>
      <c r="B135" s="4" t="s">
        <v>384</v>
      </c>
      <c r="C135" s="107" t="s">
        <v>699</v>
      </c>
      <c r="D135" s="108"/>
      <c r="E135" s="108"/>
      <c r="F135" s="4" t="s">
        <v>896</v>
      </c>
      <c r="G135" s="16">
        <v>3</v>
      </c>
      <c r="H135" s="16">
        <v>0</v>
      </c>
      <c r="I135" s="16">
        <f t="shared" si="110"/>
        <v>0</v>
      </c>
      <c r="J135" s="16">
        <f t="shared" si="111"/>
        <v>0</v>
      </c>
      <c r="K135" s="16">
        <f t="shared" si="112"/>
        <v>0</v>
      </c>
      <c r="L135" s="27" t="s">
        <v>922</v>
      </c>
      <c r="Z135" s="33">
        <f t="shared" si="113"/>
        <v>0</v>
      </c>
      <c r="AB135" s="33">
        <f t="shared" si="114"/>
        <v>0</v>
      </c>
      <c r="AC135" s="33">
        <f t="shared" si="115"/>
        <v>0</v>
      </c>
      <c r="AD135" s="33">
        <f t="shared" si="116"/>
        <v>0</v>
      </c>
      <c r="AE135" s="33">
        <f t="shared" si="117"/>
        <v>0</v>
      </c>
      <c r="AF135" s="33">
        <f t="shared" si="118"/>
        <v>0</v>
      </c>
      <c r="AG135" s="33">
        <f t="shared" si="119"/>
        <v>0</v>
      </c>
      <c r="AH135" s="33">
        <f t="shared" si="120"/>
        <v>0</v>
      </c>
      <c r="AI135" s="28"/>
      <c r="AJ135" s="16">
        <f t="shared" si="121"/>
        <v>0</v>
      </c>
      <c r="AK135" s="16">
        <f t="shared" si="122"/>
        <v>0</v>
      </c>
      <c r="AL135" s="16">
        <f t="shared" si="123"/>
        <v>0</v>
      </c>
      <c r="AN135" s="33">
        <v>21</v>
      </c>
      <c r="AO135" s="33">
        <f>H135*0.700550458715596</f>
        <v>0</v>
      </c>
      <c r="AP135" s="33">
        <f>H135*(1-0.700550458715596)</f>
        <v>0</v>
      </c>
      <c r="AQ135" s="27" t="s">
        <v>11</v>
      </c>
      <c r="AV135" s="33">
        <f t="shared" si="124"/>
        <v>0</v>
      </c>
      <c r="AW135" s="33">
        <f t="shared" si="125"/>
        <v>0</v>
      </c>
      <c r="AX135" s="33">
        <f t="shared" si="126"/>
        <v>0</v>
      </c>
      <c r="AY135" s="34" t="s">
        <v>954</v>
      </c>
      <c r="AZ135" s="34" t="s">
        <v>1000</v>
      </c>
      <c r="BA135" s="28" t="s">
        <v>1007</v>
      </c>
      <c r="BC135" s="33">
        <f t="shared" si="127"/>
        <v>0</v>
      </c>
      <c r="BD135" s="33">
        <f t="shared" si="128"/>
        <v>0</v>
      </c>
      <c r="BE135" s="33">
        <v>0</v>
      </c>
      <c r="BF135" s="33">
        <f>139</f>
        <v>139</v>
      </c>
      <c r="BH135" s="16">
        <f t="shared" si="129"/>
        <v>0</v>
      </c>
      <c r="BI135" s="16">
        <f t="shared" si="130"/>
        <v>0</v>
      </c>
      <c r="BJ135" s="16">
        <f t="shared" si="131"/>
        <v>0</v>
      </c>
    </row>
    <row r="136" spans="1:62" ht="12.75">
      <c r="A136" s="4" t="s">
        <v>112</v>
      </c>
      <c r="B136" s="4" t="s">
        <v>385</v>
      </c>
      <c r="C136" s="107" t="s">
        <v>700</v>
      </c>
      <c r="D136" s="108"/>
      <c r="E136" s="108"/>
      <c r="F136" s="4" t="s">
        <v>899</v>
      </c>
      <c r="G136" s="16">
        <v>54</v>
      </c>
      <c r="H136" s="16">
        <v>0</v>
      </c>
      <c r="I136" s="16">
        <f t="shared" si="110"/>
        <v>0</v>
      </c>
      <c r="J136" s="16">
        <f t="shared" si="111"/>
        <v>0</v>
      </c>
      <c r="K136" s="16">
        <f t="shared" si="112"/>
        <v>0</v>
      </c>
      <c r="L136" s="27" t="s">
        <v>922</v>
      </c>
      <c r="Z136" s="33">
        <f t="shared" si="113"/>
        <v>0</v>
      </c>
      <c r="AB136" s="33">
        <f t="shared" si="114"/>
        <v>0</v>
      </c>
      <c r="AC136" s="33">
        <f t="shared" si="115"/>
        <v>0</v>
      </c>
      <c r="AD136" s="33">
        <f t="shared" si="116"/>
        <v>0</v>
      </c>
      <c r="AE136" s="33">
        <f t="shared" si="117"/>
        <v>0</v>
      </c>
      <c r="AF136" s="33">
        <f t="shared" si="118"/>
        <v>0</v>
      </c>
      <c r="AG136" s="33">
        <f t="shared" si="119"/>
        <v>0</v>
      </c>
      <c r="AH136" s="33">
        <f t="shared" si="120"/>
        <v>0</v>
      </c>
      <c r="AI136" s="28"/>
      <c r="AJ136" s="16">
        <f t="shared" si="121"/>
        <v>0</v>
      </c>
      <c r="AK136" s="16">
        <f t="shared" si="122"/>
        <v>0</v>
      </c>
      <c r="AL136" s="16">
        <f t="shared" si="123"/>
        <v>0</v>
      </c>
      <c r="AN136" s="33">
        <v>21</v>
      </c>
      <c r="AO136" s="33">
        <f>H136*0.319962577476319</f>
        <v>0</v>
      </c>
      <c r="AP136" s="33">
        <f>H136*(1-0.319962577476319)</f>
        <v>0</v>
      </c>
      <c r="AQ136" s="27" t="s">
        <v>11</v>
      </c>
      <c r="AV136" s="33">
        <f t="shared" si="124"/>
        <v>0</v>
      </c>
      <c r="AW136" s="33">
        <f t="shared" si="125"/>
        <v>0</v>
      </c>
      <c r="AX136" s="33">
        <f t="shared" si="126"/>
        <v>0</v>
      </c>
      <c r="AY136" s="34" t="s">
        <v>954</v>
      </c>
      <c r="AZ136" s="34" t="s">
        <v>1000</v>
      </c>
      <c r="BA136" s="28" t="s">
        <v>1007</v>
      </c>
      <c r="BC136" s="33">
        <f t="shared" si="127"/>
        <v>0</v>
      </c>
      <c r="BD136" s="33">
        <f t="shared" si="128"/>
        <v>0</v>
      </c>
      <c r="BE136" s="33">
        <v>0</v>
      </c>
      <c r="BF136" s="33">
        <f>140</f>
        <v>140</v>
      </c>
      <c r="BH136" s="16">
        <f t="shared" si="129"/>
        <v>0</v>
      </c>
      <c r="BI136" s="16">
        <f t="shared" si="130"/>
        <v>0</v>
      </c>
      <c r="BJ136" s="16">
        <f t="shared" si="131"/>
        <v>0</v>
      </c>
    </row>
    <row r="137" spans="1:62" ht="12.75">
      <c r="A137" s="4" t="s">
        <v>113</v>
      </c>
      <c r="B137" s="4" t="s">
        <v>386</v>
      </c>
      <c r="C137" s="107" t="s">
        <v>701</v>
      </c>
      <c r="D137" s="108"/>
      <c r="E137" s="108"/>
      <c r="F137" s="4" t="s">
        <v>899</v>
      </c>
      <c r="G137" s="16">
        <v>24</v>
      </c>
      <c r="H137" s="16">
        <v>0</v>
      </c>
      <c r="I137" s="16">
        <f t="shared" si="110"/>
        <v>0</v>
      </c>
      <c r="J137" s="16">
        <f t="shared" si="111"/>
        <v>0</v>
      </c>
      <c r="K137" s="16">
        <f t="shared" si="112"/>
        <v>0</v>
      </c>
      <c r="L137" s="27" t="s">
        <v>922</v>
      </c>
      <c r="Z137" s="33">
        <f t="shared" si="113"/>
        <v>0</v>
      </c>
      <c r="AB137" s="33">
        <f t="shared" si="114"/>
        <v>0</v>
      </c>
      <c r="AC137" s="33">
        <f t="shared" si="115"/>
        <v>0</v>
      </c>
      <c r="AD137" s="33">
        <f t="shared" si="116"/>
        <v>0</v>
      </c>
      <c r="AE137" s="33">
        <f t="shared" si="117"/>
        <v>0</v>
      </c>
      <c r="AF137" s="33">
        <f t="shared" si="118"/>
        <v>0</v>
      </c>
      <c r="AG137" s="33">
        <f t="shared" si="119"/>
        <v>0</v>
      </c>
      <c r="AH137" s="33">
        <f t="shared" si="120"/>
        <v>0</v>
      </c>
      <c r="AI137" s="28"/>
      <c r="AJ137" s="16">
        <f t="shared" si="121"/>
        <v>0</v>
      </c>
      <c r="AK137" s="16">
        <f t="shared" si="122"/>
        <v>0</v>
      </c>
      <c r="AL137" s="16">
        <f t="shared" si="123"/>
        <v>0</v>
      </c>
      <c r="AN137" s="33">
        <v>21</v>
      </c>
      <c r="AO137" s="33">
        <f>H137*0.459120081852851</f>
        <v>0</v>
      </c>
      <c r="AP137" s="33">
        <f>H137*(1-0.459120081852851)</f>
        <v>0</v>
      </c>
      <c r="AQ137" s="27" t="s">
        <v>11</v>
      </c>
      <c r="AV137" s="33">
        <f t="shared" si="124"/>
        <v>0</v>
      </c>
      <c r="AW137" s="33">
        <f t="shared" si="125"/>
        <v>0</v>
      </c>
      <c r="AX137" s="33">
        <f t="shared" si="126"/>
        <v>0</v>
      </c>
      <c r="AY137" s="34" t="s">
        <v>954</v>
      </c>
      <c r="AZ137" s="34" t="s">
        <v>1000</v>
      </c>
      <c r="BA137" s="28" t="s">
        <v>1007</v>
      </c>
      <c r="BC137" s="33">
        <f t="shared" si="127"/>
        <v>0</v>
      </c>
      <c r="BD137" s="33">
        <f t="shared" si="128"/>
        <v>0</v>
      </c>
      <c r="BE137" s="33">
        <v>0</v>
      </c>
      <c r="BF137" s="33">
        <f>141</f>
        <v>141</v>
      </c>
      <c r="BH137" s="16">
        <f t="shared" si="129"/>
        <v>0</v>
      </c>
      <c r="BI137" s="16">
        <f t="shared" si="130"/>
        <v>0</v>
      </c>
      <c r="BJ137" s="16">
        <f t="shared" si="131"/>
        <v>0</v>
      </c>
    </row>
    <row r="138" spans="1:47" ht="12.75">
      <c r="A138" s="5"/>
      <c r="B138" s="13" t="s">
        <v>387</v>
      </c>
      <c r="C138" s="109" t="s">
        <v>702</v>
      </c>
      <c r="D138" s="110"/>
      <c r="E138" s="110"/>
      <c r="F138" s="5" t="s">
        <v>6</v>
      </c>
      <c r="G138" s="5" t="s">
        <v>6</v>
      </c>
      <c r="H138" s="5" t="s">
        <v>6</v>
      </c>
      <c r="I138" s="36">
        <f>SUM(I139:I150)</f>
        <v>0</v>
      </c>
      <c r="J138" s="36">
        <f>SUM(J139:J150)</f>
        <v>0</v>
      </c>
      <c r="K138" s="36">
        <f>SUM(K139:K150)</f>
        <v>0</v>
      </c>
      <c r="L138" s="28"/>
      <c r="AI138" s="28"/>
      <c r="AS138" s="36">
        <f>SUM(AJ139:AJ150)</f>
        <v>0</v>
      </c>
      <c r="AT138" s="36">
        <f>SUM(AK139:AK150)</f>
        <v>0</v>
      </c>
      <c r="AU138" s="36">
        <f>SUM(AL139:AL150)</f>
        <v>0</v>
      </c>
    </row>
    <row r="139" spans="1:62" ht="12.75">
      <c r="A139" s="4" t="s">
        <v>114</v>
      </c>
      <c r="B139" s="4" t="s">
        <v>388</v>
      </c>
      <c r="C139" s="107" t="s">
        <v>703</v>
      </c>
      <c r="D139" s="108"/>
      <c r="E139" s="108"/>
      <c r="F139" s="4" t="s">
        <v>894</v>
      </c>
      <c r="G139" s="16">
        <v>1</v>
      </c>
      <c r="H139" s="16">
        <v>0</v>
      </c>
      <c r="I139" s="16">
        <f aca="true" t="shared" si="132" ref="I139:I150">G139*AO139</f>
        <v>0</v>
      </c>
      <c r="J139" s="16">
        <f aca="true" t="shared" si="133" ref="J139:J150">G139*AP139</f>
        <v>0</v>
      </c>
      <c r="K139" s="16">
        <f aca="true" t="shared" si="134" ref="K139:K150">G139*H139</f>
        <v>0</v>
      </c>
      <c r="L139" s="27" t="s">
        <v>922</v>
      </c>
      <c r="Z139" s="33">
        <f aca="true" t="shared" si="135" ref="Z139:Z150">IF(AQ139="5",BJ139,0)</f>
        <v>0</v>
      </c>
      <c r="AB139" s="33">
        <f aca="true" t="shared" si="136" ref="AB139:AB150">IF(AQ139="1",BH139,0)</f>
        <v>0</v>
      </c>
      <c r="AC139" s="33">
        <f aca="true" t="shared" si="137" ref="AC139:AC150">IF(AQ139="1",BI139,0)</f>
        <v>0</v>
      </c>
      <c r="AD139" s="33">
        <f aca="true" t="shared" si="138" ref="AD139:AD150">IF(AQ139="7",BH139,0)</f>
        <v>0</v>
      </c>
      <c r="AE139" s="33">
        <f aca="true" t="shared" si="139" ref="AE139:AE150">IF(AQ139="7",BI139,0)</f>
        <v>0</v>
      </c>
      <c r="AF139" s="33">
        <f aca="true" t="shared" si="140" ref="AF139:AF150">IF(AQ139="2",BH139,0)</f>
        <v>0</v>
      </c>
      <c r="AG139" s="33">
        <f aca="true" t="shared" si="141" ref="AG139:AG150">IF(AQ139="2",BI139,0)</f>
        <v>0</v>
      </c>
      <c r="AH139" s="33">
        <f aca="true" t="shared" si="142" ref="AH139:AH150">IF(AQ139="0",BJ139,0)</f>
        <v>0</v>
      </c>
      <c r="AI139" s="28"/>
      <c r="AJ139" s="16">
        <f aca="true" t="shared" si="143" ref="AJ139:AJ150">IF(AN139=0,K139,0)</f>
        <v>0</v>
      </c>
      <c r="AK139" s="16">
        <f aca="true" t="shared" si="144" ref="AK139:AK150">IF(AN139=15,K139,0)</f>
        <v>0</v>
      </c>
      <c r="AL139" s="16">
        <f aca="true" t="shared" si="145" ref="AL139:AL150">IF(AN139=21,K139,0)</f>
        <v>0</v>
      </c>
      <c r="AN139" s="33">
        <v>21</v>
      </c>
      <c r="AO139" s="33">
        <f>H139*0.875290476190476</f>
        <v>0</v>
      </c>
      <c r="AP139" s="33">
        <f>H139*(1-0.875290476190476)</f>
        <v>0</v>
      </c>
      <c r="AQ139" s="27" t="s">
        <v>11</v>
      </c>
      <c r="AV139" s="33">
        <f aca="true" t="shared" si="146" ref="AV139:AV150">AW139+AX139</f>
        <v>0</v>
      </c>
      <c r="AW139" s="33">
        <f aca="true" t="shared" si="147" ref="AW139:AW150">G139*AO139</f>
        <v>0</v>
      </c>
      <c r="AX139" s="33">
        <f aca="true" t="shared" si="148" ref="AX139:AX150">G139*AP139</f>
        <v>0</v>
      </c>
      <c r="AY139" s="34" t="s">
        <v>955</v>
      </c>
      <c r="AZ139" s="34" t="s">
        <v>1000</v>
      </c>
      <c r="BA139" s="28" t="s">
        <v>1007</v>
      </c>
      <c r="BC139" s="33">
        <f aca="true" t="shared" si="149" ref="BC139:BC150">AW139+AX139</f>
        <v>0</v>
      </c>
      <c r="BD139" s="33">
        <f aca="true" t="shared" si="150" ref="BD139:BD150">H139/(100-BE139)*100</f>
        <v>0</v>
      </c>
      <c r="BE139" s="33">
        <v>0</v>
      </c>
      <c r="BF139" s="33">
        <f>143</f>
        <v>143</v>
      </c>
      <c r="BH139" s="16">
        <f aca="true" t="shared" si="151" ref="BH139:BH150">G139*AO139</f>
        <v>0</v>
      </c>
      <c r="BI139" s="16">
        <f aca="true" t="shared" si="152" ref="BI139:BI150">G139*AP139</f>
        <v>0</v>
      </c>
      <c r="BJ139" s="16">
        <f aca="true" t="shared" si="153" ref="BJ139:BJ150">G139*H139</f>
        <v>0</v>
      </c>
    </row>
    <row r="140" spans="1:62" ht="12.75">
      <c r="A140" s="4" t="s">
        <v>115</v>
      </c>
      <c r="B140" s="4" t="s">
        <v>389</v>
      </c>
      <c r="C140" s="107" t="s">
        <v>704</v>
      </c>
      <c r="D140" s="108"/>
      <c r="E140" s="108"/>
      <c r="F140" s="4" t="s">
        <v>894</v>
      </c>
      <c r="G140" s="16">
        <v>1</v>
      </c>
      <c r="H140" s="16">
        <v>0</v>
      </c>
      <c r="I140" s="16">
        <f t="shared" si="132"/>
        <v>0</v>
      </c>
      <c r="J140" s="16">
        <f t="shared" si="133"/>
        <v>0</v>
      </c>
      <c r="K140" s="16">
        <f t="shared" si="134"/>
        <v>0</v>
      </c>
      <c r="L140" s="27" t="s">
        <v>922</v>
      </c>
      <c r="Z140" s="33">
        <f t="shared" si="135"/>
        <v>0</v>
      </c>
      <c r="AB140" s="33">
        <f t="shared" si="136"/>
        <v>0</v>
      </c>
      <c r="AC140" s="33">
        <f t="shared" si="137"/>
        <v>0</v>
      </c>
      <c r="AD140" s="33">
        <f t="shared" si="138"/>
        <v>0</v>
      </c>
      <c r="AE140" s="33">
        <f t="shared" si="139"/>
        <v>0</v>
      </c>
      <c r="AF140" s="33">
        <f t="shared" si="140"/>
        <v>0</v>
      </c>
      <c r="AG140" s="33">
        <f t="shared" si="141"/>
        <v>0</v>
      </c>
      <c r="AH140" s="33">
        <f t="shared" si="142"/>
        <v>0</v>
      </c>
      <c r="AI140" s="28"/>
      <c r="AJ140" s="16">
        <f t="shared" si="143"/>
        <v>0</v>
      </c>
      <c r="AK140" s="16">
        <f t="shared" si="144"/>
        <v>0</v>
      </c>
      <c r="AL140" s="16">
        <f t="shared" si="145"/>
        <v>0</v>
      </c>
      <c r="AN140" s="33">
        <v>21</v>
      </c>
      <c r="AO140" s="33">
        <f>H140*0.789460699659545</f>
        <v>0</v>
      </c>
      <c r="AP140" s="33">
        <f>H140*(1-0.789460699659545)</f>
        <v>0</v>
      </c>
      <c r="AQ140" s="27" t="s">
        <v>11</v>
      </c>
      <c r="AV140" s="33">
        <f t="shared" si="146"/>
        <v>0</v>
      </c>
      <c r="AW140" s="33">
        <f t="shared" si="147"/>
        <v>0</v>
      </c>
      <c r="AX140" s="33">
        <f t="shared" si="148"/>
        <v>0</v>
      </c>
      <c r="AY140" s="34" t="s">
        <v>955</v>
      </c>
      <c r="AZ140" s="34" t="s">
        <v>1000</v>
      </c>
      <c r="BA140" s="28" t="s">
        <v>1007</v>
      </c>
      <c r="BC140" s="33">
        <f t="shared" si="149"/>
        <v>0</v>
      </c>
      <c r="BD140" s="33">
        <f t="shared" si="150"/>
        <v>0</v>
      </c>
      <c r="BE140" s="33">
        <v>0</v>
      </c>
      <c r="BF140" s="33">
        <f>144</f>
        <v>144</v>
      </c>
      <c r="BH140" s="16">
        <f t="shared" si="151"/>
        <v>0</v>
      </c>
      <c r="BI140" s="16">
        <f t="shared" si="152"/>
        <v>0</v>
      </c>
      <c r="BJ140" s="16">
        <f t="shared" si="153"/>
        <v>0</v>
      </c>
    </row>
    <row r="141" spans="1:62" ht="12.75">
      <c r="A141" s="4" t="s">
        <v>116</v>
      </c>
      <c r="B141" s="4" t="s">
        <v>390</v>
      </c>
      <c r="C141" s="107" t="s">
        <v>705</v>
      </c>
      <c r="D141" s="108"/>
      <c r="E141" s="108"/>
      <c r="F141" s="4" t="s">
        <v>894</v>
      </c>
      <c r="G141" s="16">
        <v>5</v>
      </c>
      <c r="H141" s="16">
        <v>0</v>
      </c>
      <c r="I141" s="16">
        <f t="shared" si="132"/>
        <v>0</v>
      </c>
      <c r="J141" s="16">
        <f t="shared" si="133"/>
        <v>0</v>
      </c>
      <c r="K141" s="16">
        <f t="shared" si="134"/>
        <v>0</v>
      </c>
      <c r="L141" s="27" t="s">
        <v>922</v>
      </c>
      <c r="Z141" s="33">
        <f t="shared" si="135"/>
        <v>0</v>
      </c>
      <c r="AB141" s="33">
        <f t="shared" si="136"/>
        <v>0</v>
      </c>
      <c r="AC141" s="33">
        <f t="shared" si="137"/>
        <v>0</v>
      </c>
      <c r="AD141" s="33">
        <f t="shared" si="138"/>
        <v>0</v>
      </c>
      <c r="AE141" s="33">
        <f t="shared" si="139"/>
        <v>0</v>
      </c>
      <c r="AF141" s="33">
        <f t="shared" si="140"/>
        <v>0</v>
      </c>
      <c r="AG141" s="33">
        <f t="shared" si="141"/>
        <v>0</v>
      </c>
      <c r="AH141" s="33">
        <f t="shared" si="142"/>
        <v>0</v>
      </c>
      <c r="AI141" s="28"/>
      <c r="AJ141" s="16">
        <f t="shared" si="143"/>
        <v>0</v>
      </c>
      <c r="AK141" s="16">
        <f t="shared" si="144"/>
        <v>0</v>
      </c>
      <c r="AL141" s="16">
        <f t="shared" si="145"/>
        <v>0</v>
      </c>
      <c r="AN141" s="33">
        <v>21</v>
      </c>
      <c r="AO141" s="33">
        <f>H141*0.730493648072443</f>
        <v>0</v>
      </c>
      <c r="AP141" s="33">
        <f>H141*(1-0.730493648072443)</f>
        <v>0</v>
      </c>
      <c r="AQ141" s="27" t="s">
        <v>11</v>
      </c>
      <c r="AV141" s="33">
        <f t="shared" si="146"/>
        <v>0</v>
      </c>
      <c r="AW141" s="33">
        <f t="shared" si="147"/>
        <v>0</v>
      </c>
      <c r="AX141" s="33">
        <f t="shared" si="148"/>
        <v>0</v>
      </c>
      <c r="AY141" s="34" t="s">
        <v>955</v>
      </c>
      <c r="AZ141" s="34" t="s">
        <v>1000</v>
      </c>
      <c r="BA141" s="28" t="s">
        <v>1007</v>
      </c>
      <c r="BC141" s="33">
        <f t="shared" si="149"/>
        <v>0</v>
      </c>
      <c r="BD141" s="33">
        <f t="shared" si="150"/>
        <v>0</v>
      </c>
      <c r="BE141" s="33">
        <v>0</v>
      </c>
      <c r="BF141" s="33">
        <f>145</f>
        <v>145</v>
      </c>
      <c r="BH141" s="16">
        <f t="shared" si="151"/>
        <v>0</v>
      </c>
      <c r="BI141" s="16">
        <f t="shared" si="152"/>
        <v>0</v>
      </c>
      <c r="BJ141" s="16">
        <f t="shared" si="153"/>
        <v>0</v>
      </c>
    </row>
    <row r="142" spans="1:62" ht="12.75">
      <c r="A142" s="4" t="s">
        <v>117</v>
      </c>
      <c r="B142" s="4" t="s">
        <v>391</v>
      </c>
      <c r="C142" s="107" t="s">
        <v>706</v>
      </c>
      <c r="D142" s="108"/>
      <c r="E142" s="108"/>
      <c r="F142" s="4" t="s">
        <v>896</v>
      </c>
      <c r="G142" s="16">
        <v>1</v>
      </c>
      <c r="H142" s="16">
        <v>0</v>
      </c>
      <c r="I142" s="16">
        <f t="shared" si="132"/>
        <v>0</v>
      </c>
      <c r="J142" s="16">
        <f t="shared" si="133"/>
        <v>0</v>
      </c>
      <c r="K142" s="16">
        <f t="shared" si="134"/>
        <v>0</v>
      </c>
      <c r="L142" s="27" t="s">
        <v>922</v>
      </c>
      <c r="Z142" s="33">
        <f t="shared" si="135"/>
        <v>0</v>
      </c>
      <c r="AB142" s="33">
        <f t="shared" si="136"/>
        <v>0</v>
      </c>
      <c r="AC142" s="33">
        <f t="shared" si="137"/>
        <v>0</v>
      </c>
      <c r="AD142" s="33">
        <f t="shared" si="138"/>
        <v>0</v>
      </c>
      <c r="AE142" s="33">
        <f t="shared" si="139"/>
        <v>0</v>
      </c>
      <c r="AF142" s="33">
        <f t="shared" si="140"/>
        <v>0</v>
      </c>
      <c r="AG142" s="33">
        <f t="shared" si="141"/>
        <v>0</v>
      </c>
      <c r="AH142" s="33">
        <f t="shared" si="142"/>
        <v>0</v>
      </c>
      <c r="AI142" s="28"/>
      <c r="AJ142" s="16">
        <f t="shared" si="143"/>
        <v>0</v>
      </c>
      <c r="AK142" s="16">
        <f t="shared" si="144"/>
        <v>0</v>
      </c>
      <c r="AL142" s="16">
        <f t="shared" si="145"/>
        <v>0</v>
      </c>
      <c r="AN142" s="33">
        <v>21</v>
      </c>
      <c r="AO142" s="33">
        <f>H142*0.952475524418838</f>
        <v>0</v>
      </c>
      <c r="AP142" s="33">
        <f>H142*(1-0.952475524418838)</f>
        <v>0</v>
      </c>
      <c r="AQ142" s="27" t="s">
        <v>11</v>
      </c>
      <c r="AV142" s="33">
        <f t="shared" si="146"/>
        <v>0</v>
      </c>
      <c r="AW142" s="33">
        <f t="shared" si="147"/>
        <v>0</v>
      </c>
      <c r="AX142" s="33">
        <f t="shared" si="148"/>
        <v>0</v>
      </c>
      <c r="AY142" s="34" t="s">
        <v>955</v>
      </c>
      <c r="AZ142" s="34" t="s">
        <v>1000</v>
      </c>
      <c r="BA142" s="28" t="s">
        <v>1007</v>
      </c>
      <c r="BC142" s="33">
        <f t="shared" si="149"/>
        <v>0</v>
      </c>
      <c r="BD142" s="33">
        <f t="shared" si="150"/>
        <v>0</v>
      </c>
      <c r="BE142" s="33">
        <v>0</v>
      </c>
      <c r="BF142" s="33">
        <f>146</f>
        <v>146</v>
      </c>
      <c r="BH142" s="16">
        <f t="shared" si="151"/>
        <v>0</v>
      </c>
      <c r="BI142" s="16">
        <f t="shared" si="152"/>
        <v>0</v>
      </c>
      <c r="BJ142" s="16">
        <f t="shared" si="153"/>
        <v>0</v>
      </c>
    </row>
    <row r="143" spans="1:62" ht="12.75">
      <c r="A143" s="4" t="s">
        <v>118</v>
      </c>
      <c r="B143" s="4" t="s">
        <v>392</v>
      </c>
      <c r="C143" s="107" t="s">
        <v>707</v>
      </c>
      <c r="D143" s="108"/>
      <c r="E143" s="108"/>
      <c r="F143" s="4" t="s">
        <v>896</v>
      </c>
      <c r="G143" s="16">
        <v>1</v>
      </c>
      <c r="H143" s="16">
        <v>0</v>
      </c>
      <c r="I143" s="16">
        <f t="shared" si="132"/>
        <v>0</v>
      </c>
      <c r="J143" s="16">
        <f t="shared" si="133"/>
        <v>0</v>
      </c>
      <c r="K143" s="16">
        <f t="shared" si="134"/>
        <v>0</v>
      </c>
      <c r="L143" s="27" t="s">
        <v>922</v>
      </c>
      <c r="Z143" s="33">
        <f t="shared" si="135"/>
        <v>0</v>
      </c>
      <c r="AB143" s="33">
        <f t="shared" si="136"/>
        <v>0</v>
      </c>
      <c r="AC143" s="33">
        <f t="shared" si="137"/>
        <v>0</v>
      </c>
      <c r="AD143" s="33">
        <f t="shared" si="138"/>
        <v>0</v>
      </c>
      <c r="AE143" s="33">
        <f t="shared" si="139"/>
        <v>0</v>
      </c>
      <c r="AF143" s="33">
        <f t="shared" si="140"/>
        <v>0</v>
      </c>
      <c r="AG143" s="33">
        <f t="shared" si="141"/>
        <v>0</v>
      </c>
      <c r="AH143" s="33">
        <f t="shared" si="142"/>
        <v>0</v>
      </c>
      <c r="AI143" s="28"/>
      <c r="AJ143" s="16">
        <f t="shared" si="143"/>
        <v>0</v>
      </c>
      <c r="AK143" s="16">
        <f t="shared" si="144"/>
        <v>0</v>
      </c>
      <c r="AL143" s="16">
        <f t="shared" si="145"/>
        <v>0</v>
      </c>
      <c r="AN143" s="33">
        <v>21</v>
      </c>
      <c r="AO143" s="33">
        <f>H143*0.493062210925455</f>
        <v>0</v>
      </c>
      <c r="AP143" s="33">
        <f>H143*(1-0.493062210925455)</f>
        <v>0</v>
      </c>
      <c r="AQ143" s="27" t="s">
        <v>11</v>
      </c>
      <c r="AV143" s="33">
        <f t="shared" si="146"/>
        <v>0</v>
      </c>
      <c r="AW143" s="33">
        <f t="shared" si="147"/>
        <v>0</v>
      </c>
      <c r="AX143" s="33">
        <f t="shared" si="148"/>
        <v>0</v>
      </c>
      <c r="AY143" s="34" t="s">
        <v>955</v>
      </c>
      <c r="AZ143" s="34" t="s">
        <v>1000</v>
      </c>
      <c r="BA143" s="28" t="s">
        <v>1007</v>
      </c>
      <c r="BC143" s="33">
        <f t="shared" si="149"/>
        <v>0</v>
      </c>
      <c r="BD143" s="33">
        <f t="shared" si="150"/>
        <v>0</v>
      </c>
      <c r="BE143" s="33">
        <v>0</v>
      </c>
      <c r="BF143" s="33">
        <f>147</f>
        <v>147</v>
      </c>
      <c r="BH143" s="16">
        <f t="shared" si="151"/>
        <v>0</v>
      </c>
      <c r="BI143" s="16">
        <f t="shared" si="152"/>
        <v>0</v>
      </c>
      <c r="BJ143" s="16">
        <f t="shared" si="153"/>
        <v>0</v>
      </c>
    </row>
    <row r="144" spans="1:62" ht="12.75">
      <c r="A144" s="6" t="s">
        <v>119</v>
      </c>
      <c r="B144" s="6" t="s">
        <v>393</v>
      </c>
      <c r="C144" s="111" t="s">
        <v>708</v>
      </c>
      <c r="D144" s="112"/>
      <c r="E144" s="112"/>
      <c r="F144" s="6" t="s">
        <v>896</v>
      </c>
      <c r="G144" s="17">
        <v>1</v>
      </c>
      <c r="H144" s="17">
        <v>0</v>
      </c>
      <c r="I144" s="17">
        <f t="shared" si="132"/>
        <v>0</v>
      </c>
      <c r="J144" s="17">
        <f t="shared" si="133"/>
        <v>0</v>
      </c>
      <c r="K144" s="17">
        <f t="shared" si="134"/>
        <v>0</v>
      </c>
      <c r="L144" s="29" t="s">
        <v>922</v>
      </c>
      <c r="Z144" s="33">
        <f t="shared" si="135"/>
        <v>0</v>
      </c>
      <c r="AB144" s="33">
        <f t="shared" si="136"/>
        <v>0</v>
      </c>
      <c r="AC144" s="33">
        <f t="shared" si="137"/>
        <v>0</v>
      </c>
      <c r="AD144" s="33">
        <f t="shared" si="138"/>
        <v>0</v>
      </c>
      <c r="AE144" s="33">
        <f t="shared" si="139"/>
        <v>0</v>
      </c>
      <c r="AF144" s="33">
        <f t="shared" si="140"/>
        <v>0</v>
      </c>
      <c r="AG144" s="33">
        <f t="shared" si="141"/>
        <v>0</v>
      </c>
      <c r="AH144" s="33">
        <f t="shared" si="142"/>
        <v>0</v>
      </c>
      <c r="AI144" s="28"/>
      <c r="AJ144" s="17">
        <f t="shared" si="143"/>
        <v>0</v>
      </c>
      <c r="AK144" s="17">
        <f t="shared" si="144"/>
        <v>0</v>
      </c>
      <c r="AL144" s="17">
        <f t="shared" si="145"/>
        <v>0</v>
      </c>
      <c r="AN144" s="33">
        <v>21</v>
      </c>
      <c r="AO144" s="33">
        <f>H144*1</f>
        <v>0</v>
      </c>
      <c r="AP144" s="33">
        <f>H144*(1-1)</f>
        <v>0</v>
      </c>
      <c r="AQ144" s="29" t="s">
        <v>11</v>
      </c>
      <c r="AV144" s="33">
        <f t="shared" si="146"/>
        <v>0</v>
      </c>
      <c r="AW144" s="33">
        <f t="shared" si="147"/>
        <v>0</v>
      </c>
      <c r="AX144" s="33">
        <f t="shared" si="148"/>
        <v>0</v>
      </c>
      <c r="AY144" s="34" t="s">
        <v>955</v>
      </c>
      <c r="AZ144" s="34" t="s">
        <v>1000</v>
      </c>
      <c r="BA144" s="28" t="s">
        <v>1007</v>
      </c>
      <c r="BC144" s="33">
        <f t="shared" si="149"/>
        <v>0</v>
      </c>
      <c r="BD144" s="33">
        <f t="shared" si="150"/>
        <v>0</v>
      </c>
      <c r="BE144" s="33">
        <v>0</v>
      </c>
      <c r="BF144" s="33">
        <f>148</f>
        <v>148</v>
      </c>
      <c r="BH144" s="17">
        <f t="shared" si="151"/>
        <v>0</v>
      </c>
      <c r="BI144" s="17">
        <f t="shared" si="152"/>
        <v>0</v>
      </c>
      <c r="BJ144" s="17">
        <f t="shared" si="153"/>
        <v>0</v>
      </c>
    </row>
    <row r="145" spans="1:62" ht="12.75">
      <c r="A145" s="4" t="s">
        <v>120</v>
      </c>
      <c r="B145" s="4" t="s">
        <v>394</v>
      </c>
      <c r="C145" s="107" t="s">
        <v>709</v>
      </c>
      <c r="D145" s="108"/>
      <c r="E145" s="108"/>
      <c r="F145" s="4" t="s">
        <v>896</v>
      </c>
      <c r="G145" s="16">
        <v>1</v>
      </c>
      <c r="H145" s="16">
        <v>0</v>
      </c>
      <c r="I145" s="16">
        <f t="shared" si="132"/>
        <v>0</v>
      </c>
      <c r="J145" s="16">
        <f t="shared" si="133"/>
        <v>0</v>
      </c>
      <c r="K145" s="16">
        <f t="shared" si="134"/>
        <v>0</v>
      </c>
      <c r="L145" s="27" t="s">
        <v>922</v>
      </c>
      <c r="Z145" s="33">
        <f t="shared" si="135"/>
        <v>0</v>
      </c>
      <c r="AB145" s="33">
        <f t="shared" si="136"/>
        <v>0</v>
      </c>
      <c r="AC145" s="33">
        <f t="shared" si="137"/>
        <v>0</v>
      </c>
      <c r="AD145" s="33">
        <f t="shared" si="138"/>
        <v>0</v>
      </c>
      <c r="AE145" s="33">
        <f t="shared" si="139"/>
        <v>0</v>
      </c>
      <c r="AF145" s="33">
        <f t="shared" si="140"/>
        <v>0</v>
      </c>
      <c r="AG145" s="33">
        <f t="shared" si="141"/>
        <v>0</v>
      </c>
      <c r="AH145" s="33">
        <f t="shared" si="142"/>
        <v>0</v>
      </c>
      <c r="AI145" s="28"/>
      <c r="AJ145" s="16">
        <f t="shared" si="143"/>
        <v>0</v>
      </c>
      <c r="AK145" s="16">
        <f t="shared" si="144"/>
        <v>0</v>
      </c>
      <c r="AL145" s="16">
        <f t="shared" si="145"/>
        <v>0</v>
      </c>
      <c r="AN145" s="33">
        <v>21</v>
      </c>
      <c r="AO145" s="33">
        <f>H145*0.94018158209691</f>
        <v>0</v>
      </c>
      <c r="AP145" s="33">
        <f>H145*(1-0.94018158209691)</f>
        <v>0</v>
      </c>
      <c r="AQ145" s="27" t="s">
        <v>11</v>
      </c>
      <c r="AV145" s="33">
        <f t="shared" si="146"/>
        <v>0</v>
      </c>
      <c r="AW145" s="33">
        <f t="shared" si="147"/>
        <v>0</v>
      </c>
      <c r="AX145" s="33">
        <f t="shared" si="148"/>
        <v>0</v>
      </c>
      <c r="AY145" s="34" t="s">
        <v>955</v>
      </c>
      <c r="AZ145" s="34" t="s">
        <v>1000</v>
      </c>
      <c r="BA145" s="28" t="s">
        <v>1007</v>
      </c>
      <c r="BC145" s="33">
        <f t="shared" si="149"/>
        <v>0</v>
      </c>
      <c r="BD145" s="33">
        <f t="shared" si="150"/>
        <v>0</v>
      </c>
      <c r="BE145" s="33">
        <v>0</v>
      </c>
      <c r="BF145" s="33">
        <f>149</f>
        <v>149</v>
      </c>
      <c r="BH145" s="16">
        <f t="shared" si="151"/>
        <v>0</v>
      </c>
      <c r="BI145" s="16">
        <f t="shared" si="152"/>
        <v>0</v>
      </c>
      <c r="BJ145" s="16">
        <f t="shared" si="153"/>
        <v>0</v>
      </c>
    </row>
    <row r="146" spans="1:62" ht="12.75">
      <c r="A146" s="4" t="s">
        <v>121</v>
      </c>
      <c r="B146" s="4" t="s">
        <v>395</v>
      </c>
      <c r="C146" s="107" t="s">
        <v>710</v>
      </c>
      <c r="D146" s="108"/>
      <c r="E146" s="108"/>
      <c r="F146" s="4" t="s">
        <v>894</v>
      </c>
      <c r="G146" s="16">
        <v>1</v>
      </c>
      <c r="H146" s="16">
        <v>0</v>
      </c>
      <c r="I146" s="16">
        <f t="shared" si="132"/>
        <v>0</v>
      </c>
      <c r="J146" s="16">
        <f t="shared" si="133"/>
        <v>0</v>
      </c>
      <c r="K146" s="16">
        <f t="shared" si="134"/>
        <v>0</v>
      </c>
      <c r="L146" s="27" t="s">
        <v>922</v>
      </c>
      <c r="Z146" s="33">
        <f t="shared" si="135"/>
        <v>0</v>
      </c>
      <c r="AB146" s="33">
        <f t="shared" si="136"/>
        <v>0</v>
      </c>
      <c r="AC146" s="33">
        <f t="shared" si="137"/>
        <v>0</v>
      </c>
      <c r="AD146" s="33">
        <f t="shared" si="138"/>
        <v>0</v>
      </c>
      <c r="AE146" s="33">
        <f t="shared" si="139"/>
        <v>0</v>
      </c>
      <c r="AF146" s="33">
        <f t="shared" si="140"/>
        <v>0</v>
      </c>
      <c r="AG146" s="33">
        <f t="shared" si="141"/>
        <v>0</v>
      </c>
      <c r="AH146" s="33">
        <f t="shared" si="142"/>
        <v>0</v>
      </c>
      <c r="AI146" s="28"/>
      <c r="AJ146" s="16">
        <f t="shared" si="143"/>
        <v>0</v>
      </c>
      <c r="AK146" s="16">
        <f t="shared" si="144"/>
        <v>0</v>
      </c>
      <c r="AL146" s="16">
        <f t="shared" si="145"/>
        <v>0</v>
      </c>
      <c r="AN146" s="33">
        <v>21</v>
      </c>
      <c r="AO146" s="33">
        <f>H146*0.709219858156028</f>
        <v>0</v>
      </c>
      <c r="AP146" s="33">
        <f>H146*(1-0.709219858156028)</f>
        <v>0</v>
      </c>
      <c r="AQ146" s="27" t="s">
        <v>11</v>
      </c>
      <c r="AV146" s="33">
        <f t="shared" si="146"/>
        <v>0</v>
      </c>
      <c r="AW146" s="33">
        <f t="shared" si="147"/>
        <v>0</v>
      </c>
      <c r="AX146" s="33">
        <f t="shared" si="148"/>
        <v>0</v>
      </c>
      <c r="AY146" s="34" t="s">
        <v>955</v>
      </c>
      <c r="AZ146" s="34" t="s">
        <v>1000</v>
      </c>
      <c r="BA146" s="28" t="s">
        <v>1007</v>
      </c>
      <c r="BC146" s="33">
        <f t="shared" si="149"/>
        <v>0</v>
      </c>
      <c r="BD146" s="33">
        <f t="shared" si="150"/>
        <v>0</v>
      </c>
      <c r="BE146" s="33">
        <v>0</v>
      </c>
      <c r="BF146" s="33">
        <f>150</f>
        <v>150</v>
      </c>
      <c r="BH146" s="16">
        <f t="shared" si="151"/>
        <v>0</v>
      </c>
      <c r="BI146" s="16">
        <f t="shared" si="152"/>
        <v>0</v>
      </c>
      <c r="BJ146" s="16">
        <f t="shared" si="153"/>
        <v>0</v>
      </c>
    </row>
    <row r="147" spans="1:62" ht="12.75">
      <c r="A147" s="4" t="s">
        <v>122</v>
      </c>
      <c r="B147" s="4" t="s">
        <v>396</v>
      </c>
      <c r="C147" s="107" t="s">
        <v>711</v>
      </c>
      <c r="D147" s="108"/>
      <c r="E147" s="108"/>
      <c r="F147" s="4" t="s">
        <v>894</v>
      </c>
      <c r="G147" s="16">
        <v>1</v>
      </c>
      <c r="H147" s="16">
        <v>0</v>
      </c>
      <c r="I147" s="16">
        <f t="shared" si="132"/>
        <v>0</v>
      </c>
      <c r="J147" s="16">
        <f t="shared" si="133"/>
        <v>0</v>
      </c>
      <c r="K147" s="16">
        <f t="shared" si="134"/>
        <v>0</v>
      </c>
      <c r="L147" s="27" t="s">
        <v>922</v>
      </c>
      <c r="Z147" s="33">
        <f t="shared" si="135"/>
        <v>0</v>
      </c>
      <c r="AB147" s="33">
        <f t="shared" si="136"/>
        <v>0</v>
      </c>
      <c r="AC147" s="33">
        <f t="shared" si="137"/>
        <v>0</v>
      </c>
      <c r="AD147" s="33">
        <f t="shared" si="138"/>
        <v>0</v>
      </c>
      <c r="AE147" s="33">
        <f t="shared" si="139"/>
        <v>0</v>
      </c>
      <c r="AF147" s="33">
        <f t="shared" si="140"/>
        <v>0</v>
      </c>
      <c r="AG147" s="33">
        <f t="shared" si="141"/>
        <v>0</v>
      </c>
      <c r="AH147" s="33">
        <f t="shared" si="142"/>
        <v>0</v>
      </c>
      <c r="AI147" s="28"/>
      <c r="AJ147" s="16">
        <f t="shared" si="143"/>
        <v>0</v>
      </c>
      <c r="AK147" s="16">
        <f t="shared" si="144"/>
        <v>0</v>
      </c>
      <c r="AL147" s="16">
        <f t="shared" si="145"/>
        <v>0</v>
      </c>
      <c r="AN147" s="33">
        <v>21</v>
      </c>
      <c r="AO147" s="33">
        <f>H147*0.870628649015614</f>
        <v>0</v>
      </c>
      <c r="AP147" s="33">
        <f>H147*(1-0.870628649015614)</f>
        <v>0</v>
      </c>
      <c r="AQ147" s="27" t="s">
        <v>11</v>
      </c>
      <c r="AV147" s="33">
        <f t="shared" si="146"/>
        <v>0</v>
      </c>
      <c r="AW147" s="33">
        <f t="shared" si="147"/>
        <v>0</v>
      </c>
      <c r="AX147" s="33">
        <f t="shared" si="148"/>
        <v>0</v>
      </c>
      <c r="AY147" s="34" t="s">
        <v>955</v>
      </c>
      <c r="AZ147" s="34" t="s">
        <v>1000</v>
      </c>
      <c r="BA147" s="28" t="s">
        <v>1007</v>
      </c>
      <c r="BC147" s="33">
        <f t="shared" si="149"/>
        <v>0</v>
      </c>
      <c r="BD147" s="33">
        <f t="shared" si="150"/>
        <v>0</v>
      </c>
      <c r="BE147" s="33">
        <v>0</v>
      </c>
      <c r="BF147" s="33">
        <f>151</f>
        <v>151</v>
      </c>
      <c r="BH147" s="16">
        <f t="shared" si="151"/>
        <v>0</v>
      </c>
      <c r="BI147" s="16">
        <f t="shared" si="152"/>
        <v>0</v>
      </c>
      <c r="BJ147" s="16">
        <f t="shared" si="153"/>
        <v>0</v>
      </c>
    </row>
    <row r="148" spans="1:62" ht="12.75">
      <c r="A148" s="4" t="s">
        <v>123</v>
      </c>
      <c r="B148" s="4" t="s">
        <v>397</v>
      </c>
      <c r="C148" s="107" t="s">
        <v>712</v>
      </c>
      <c r="D148" s="108"/>
      <c r="E148" s="108"/>
      <c r="F148" s="4" t="s">
        <v>896</v>
      </c>
      <c r="G148" s="16">
        <v>1</v>
      </c>
      <c r="H148" s="16">
        <v>0</v>
      </c>
      <c r="I148" s="16">
        <f t="shared" si="132"/>
        <v>0</v>
      </c>
      <c r="J148" s="16">
        <f t="shared" si="133"/>
        <v>0</v>
      </c>
      <c r="K148" s="16">
        <f t="shared" si="134"/>
        <v>0</v>
      </c>
      <c r="L148" s="27" t="s">
        <v>922</v>
      </c>
      <c r="Z148" s="33">
        <f t="shared" si="135"/>
        <v>0</v>
      </c>
      <c r="AB148" s="33">
        <f t="shared" si="136"/>
        <v>0</v>
      </c>
      <c r="AC148" s="33">
        <f t="shared" si="137"/>
        <v>0</v>
      </c>
      <c r="AD148" s="33">
        <f t="shared" si="138"/>
        <v>0</v>
      </c>
      <c r="AE148" s="33">
        <f t="shared" si="139"/>
        <v>0</v>
      </c>
      <c r="AF148" s="33">
        <f t="shared" si="140"/>
        <v>0</v>
      </c>
      <c r="AG148" s="33">
        <f t="shared" si="141"/>
        <v>0</v>
      </c>
      <c r="AH148" s="33">
        <f t="shared" si="142"/>
        <v>0</v>
      </c>
      <c r="AI148" s="28"/>
      <c r="AJ148" s="16">
        <f t="shared" si="143"/>
        <v>0</v>
      </c>
      <c r="AK148" s="16">
        <f t="shared" si="144"/>
        <v>0</v>
      </c>
      <c r="AL148" s="16">
        <f t="shared" si="145"/>
        <v>0</v>
      </c>
      <c r="AN148" s="33">
        <v>21</v>
      </c>
      <c r="AO148" s="33">
        <f>H148*0.819149371887964</f>
        <v>0</v>
      </c>
      <c r="AP148" s="33">
        <f>H148*(1-0.819149371887964)</f>
        <v>0</v>
      </c>
      <c r="AQ148" s="27" t="s">
        <v>11</v>
      </c>
      <c r="AV148" s="33">
        <f t="shared" si="146"/>
        <v>0</v>
      </c>
      <c r="AW148" s="33">
        <f t="shared" si="147"/>
        <v>0</v>
      </c>
      <c r="AX148" s="33">
        <f t="shared" si="148"/>
        <v>0</v>
      </c>
      <c r="AY148" s="34" t="s">
        <v>955</v>
      </c>
      <c r="AZ148" s="34" t="s">
        <v>1000</v>
      </c>
      <c r="BA148" s="28" t="s">
        <v>1007</v>
      </c>
      <c r="BC148" s="33">
        <f t="shared" si="149"/>
        <v>0</v>
      </c>
      <c r="BD148" s="33">
        <f t="shared" si="150"/>
        <v>0</v>
      </c>
      <c r="BE148" s="33">
        <v>0</v>
      </c>
      <c r="BF148" s="33">
        <f>152</f>
        <v>152</v>
      </c>
      <c r="BH148" s="16">
        <f t="shared" si="151"/>
        <v>0</v>
      </c>
      <c r="BI148" s="16">
        <f t="shared" si="152"/>
        <v>0</v>
      </c>
      <c r="BJ148" s="16">
        <f t="shared" si="153"/>
        <v>0</v>
      </c>
    </row>
    <row r="149" spans="1:62" ht="12.75">
      <c r="A149" s="4" t="s">
        <v>124</v>
      </c>
      <c r="B149" s="4" t="s">
        <v>398</v>
      </c>
      <c r="C149" s="107" t="s">
        <v>713</v>
      </c>
      <c r="D149" s="108"/>
      <c r="E149" s="108"/>
      <c r="F149" s="4" t="s">
        <v>896</v>
      </c>
      <c r="G149" s="16">
        <v>1</v>
      </c>
      <c r="H149" s="16">
        <v>0</v>
      </c>
      <c r="I149" s="16">
        <f t="shared" si="132"/>
        <v>0</v>
      </c>
      <c r="J149" s="16">
        <f t="shared" si="133"/>
        <v>0</v>
      </c>
      <c r="K149" s="16">
        <f t="shared" si="134"/>
        <v>0</v>
      </c>
      <c r="L149" s="27" t="s">
        <v>922</v>
      </c>
      <c r="Z149" s="33">
        <f t="shared" si="135"/>
        <v>0</v>
      </c>
      <c r="AB149" s="33">
        <f t="shared" si="136"/>
        <v>0</v>
      </c>
      <c r="AC149" s="33">
        <f t="shared" si="137"/>
        <v>0</v>
      </c>
      <c r="AD149" s="33">
        <f t="shared" si="138"/>
        <v>0</v>
      </c>
      <c r="AE149" s="33">
        <f t="shared" si="139"/>
        <v>0</v>
      </c>
      <c r="AF149" s="33">
        <f t="shared" si="140"/>
        <v>0</v>
      </c>
      <c r="AG149" s="33">
        <f t="shared" si="141"/>
        <v>0</v>
      </c>
      <c r="AH149" s="33">
        <f t="shared" si="142"/>
        <v>0</v>
      </c>
      <c r="AI149" s="28"/>
      <c r="AJ149" s="16">
        <f t="shared" si="143"/>
        <v>0</v>
      </c>
      <c r="AK149" s="16">
        <f t="shared" si="144"/>
        <v>0</v>
      </c>
      <c r="AL149" s="16">
        <f t="shared" si="145"/>
        <v>0</v>
      </c>
      <c r="AN149" s="33">
        <v>21</v>
      </c>
      <c r="AO149" s="33">
        <f>H149*0.986680815803808</f>
        <v>0</v>
      </c>
      <c r="AP149" s="33">
        <f>H149*(1-0.986680815803808)</f>
        <v>0</v>
      </c>
      <c r="AQ149" s="27" t="s">
        <v>11</v>
      </c>
      <c r="AV149" s="33">
        <f t="shared" si="146"/>
        <v>0</v>
      </c>
      <c r="AW149" s="33">
        <f t="shared" si="147"/>
        <v>0</v>
      </c>
      <c r="AX149" s="33">
        <f t="shared" si="148"/>
        <v>0</v>
      </c>
      <c r="AY149" s="34" t="s">
        <v>955</v>
      </c>
      <c r="AZ149" s="34" t="s">
        <v>1000</v>
      </c>
      <c r="BA149" s="28" t="s">
        <v>1007</v>
      </c>
      <c r="BC149" s="33">
        <f t="shared" si="149"/>
        <v>0</v>
      </c>
      <c r="BD149" s="33">
        <f t="shared" si="150"/>
        <v>0</v>
      </c>
      <c r="BE149" s="33">
        <v>0</v>
      </c>
      <c r="BF149" s="33">
        <f>153</f>
        <v>153</v>
      </c>
      <c r="BH149" s="16">
        <f t="shared" si="151"/>
        <v>0</v>
      </c>
      <c r="BI149" s="16">
        <f t="shared" si="152"/>
        <v>0</v>
      </c>
      <c r="BJ149" s="16">
        <f t="shared" si="153"/>
        <v>0</v>
      </c>
    </row>
    <row r="150" spans="1:62" ht="12.75">
      <c r="A150" s="6" t="s">
        <v>125</v>
      </c>
      <c r="B150" s="6" t="s">
        <v>399</v>
      </c>
      <c r="C150" s="111" t="s">
        <v>1281</v>
      </c>
      <c r="D150" s="112"/>
      <c r="E150" s="112"/>
      <c r="F150" s="6" t="s">
        <v>896</v>
      </c>
      <c r="G150" s="17">
        <v>1</v>
      </c>
      <c r="H150" s="17">
        <v>0</v>
      </c>
      <c r="I150" s="17">
        <f t="shared" si="132"/>
        <v>0</v>
      </c>
      <c r="J150" s="17">
        <f t="shared" si="133"/>
        <v>0</v>
      </c>
      <c r="K150" s="17">
        <f t="shared" si="134"/>
        <v>0</v>
      </c>
      <c r="L150" s="29" t="s">
        <v>922</v>
      </c>
      <c r="Z150" s="33">
        <f t="shared" si="135"/>
        <v>0</v>
      </c>
      <c r="AB150" s="33">
        <f t="shared" si="136"/>
        <v>0</v>
      </c>
      <c r="AC150" s="33">
        <f t="shared" si="137"/>
        <v>0</v>
      </c>
      <c r="AD150" s="33">
        <f t="shared" si="138"/>
        <v>0</v>
      </c>
      <c r="AE150" s="33">
        <f t="shared" si="139"/>
        <v>0</v>
      </c>
      <c r="AF150" s="33">
        <f t="shared" si="140"/>
        <v>0</v>
      </c>
      <c r="AG150" s="33">
        <f t="shared" si="141"/>
        <v>0</v>
      </c>
      <c r="AH150" s="33">
        <f t="shared" si="142"/>
        <v>0</v>
      </c>
      <c r="AI150" s="28"/>
      <c r="AJ150" s="17">
        <f t="shared" si="143"/>
        <v>0</v>
      </c>
      <c r="AK150" s="17">
        <f t="shared" si="144"/>
        <v>0</v>
      </c>
      <c r="AL150" s="17">
        <f t="shared" si="145"/>
        <v>0</v>
      </c>
      <c r="AN150" s="33">
        <v>21</v>
      </c>
      <c r="AO150" s="33">
        <f>H150*1</f>
        <v>0</v>
      </c>
      <c r="AP150" s="33">
        <f>H150*(1-1)</f>
        <v>0</v>
      </c>
      <c r="AQ150" s="29" t="s">
        <v>11</v>
      </c>
      <c r="AV150" s="33">
        <f t="shared" si="146"/>
        <v>0</v>
      </c>
      <c r="AW150" s="33">
        <f t="shared" si="147"/>
        <v>0</v>
      </c>
      <c r="AX150" s="33">
        <f t="shared" si="148"/>
        <v>0</v>
      </c>
      <c r="AY150" s="34" t="s">
        <v>955</v>
      </c>
      <c r="AZ150" s="34" t="s">
        <v>1000</v>
      </c>
      <c r="BA150" s="28" t="s">
        <v>1007</v>
      </c>
      <c r="BC150" s="33">
        <f t="shared" si="149"/>
        <v>0</v>
      </c>
      <c r="BD150" s="33">
        <f t="shared" si="150"/>
        <v>0</v>
      </c>
      <c r="BE150" s="33">
        <v>0</v>
      </c>
      <c r="BF150" s="33">
        <f>154</f>
        <v>154</v>
      </c>
      <c r="BH150" s="17">
        <f t="shared" si="151"/>
        <v>0</v>
      </c>
      <c r="BI150" s="17">
        <f t="shared" si="152"/>
        <v>0</v>
      </c>
      <c r="BJ150" s="17">
        <f t="shared" si="153"/>
        <v>0</v>
      </c>
    </row>
    <row r="151" spans="1:47" ht="12.75">
      <c r="A151" s="5"/>
      <c r="B151" s="13" t="s">
        <v>400</v>
      </c>
      <c r="C151" s="109" t="s">
        <v>714</v>
      </c>
      <c r="D151" s="110"/>
      <c r="E151" s="110"/>
      <c r="F151" s="5" t="s">
        <v>6</v>
      </c>
      <c r="G151" s="5" t="s">
        <v>6</v>
      </c>
      <c r="H151" s="5" t="s">
        <v>6</v>
      </c>
      <c r="I151" s="36">
        <f>SUM(I152:I155)</f>
        <v>0</v>
      </c>
      <c r="J151" s="36">
        <f>SUM(J152:J155)</f>
        <v>0</v>
      </c>
      <c r="K151" s="36">
        <f>SUM(K152:K155)</f>
        <v>0</v>
      </c>
      <c r="L151" s="28"/>
      <c r="AI151" s="28"/>
      <c r="AS151" s="36">
        <f>SUM(AJ152:AJ155)</f>
        <v>0</v>
      </c>
      <c r="AT151" s="36">
        <f>SUM(AK152:AK155)</f>
        <v>0</v>
      </c>
      <c r="AU151" s="36">
        <f>SUM(AL152:AL155)</f>
        <v>0</v>
      </c>
    </row>
    <row r="152" spans="1:62" ht="12.75">
      <c r="A152" s="4" t="s">
        <v>126</v>
      </c>
      <c r="B152" s="4" t="s">
        <v>401</v>
      </c>
      <c r="C152" s="107" t="s">
        <v>715</v>
      </c>
      <c r="D152" s="108"/>
      <c r="E152" s="108"/>
      <c r="F152" s="4" t="s">
        <v>896</v>
      </c>
      <c r="G152" s="16">
        <v>2</v>
      </c>
      <c r="H152" s="16">
        <v>0</v>
      </c>
      <c r="I152" s="16">
        <f>G152*AO152</f>
        <v>0</v>
      </c>
      <c r="J152" s="16">
        <f>G152*AP152</f>
        <v>0</v>
      </c>
      <c r="K152" s="16">
        <f>G152*H152</f>
        <v>0</v>
      </c>
      <c r="L152" s="27" t="s">
        <v>922</v>
      </c>
      <c r="Z152" s="33">
        <f>IF(AQ152="5",BJ152,0)</f>
        <v>0</v>
      </c>
      <c r="AB152" s="33">
        <f>IF(AQ152="1",BH152,0)</f>
        <v>0</v>
      </c>
      <c r="AC152" s="33">
        <f>IF(AQ152="1",BI152,0)</f>
        <v>0</v>
      </c>
      <c r="AD152" s="33">
        <f>IF(AQ152="7",BH152,0)</f>
        <v>0</v>
      </c>
      <c r="AE152" s="33">
        <f>IF(AQ152="7",BI152,0)</f>
        <v>0</v>
      </c>
      <c r="AF152" s="33">
        <f>IF(AQ152="2",BH152,0)</f>
        <v>0</v>
      </c>
      <c r="AG152" s="33">
        <f>IF(AQ152="2",BI152,0)</f>
        <v>0</v>
      </c>
      <c r="AH152" s="33">
        <f>IF(AQ152="0",BJ152,0)</f>
        <v>0</v>
      </c>
      <c r="AI152" s="28"/>
      <c r="AJ152" s="16">
        <f>IF(AN152=0,K152,0)</f>
        <v>0</v>
      </c>
      <c r="AK152" s="16">
        <f>IF(AN152=15,K152,0)</f>
        <v>0</v>
      </c>
      <c r="AL152" s="16">
        <f>IF(AN152=21,K152,0)</f>
        <v>0</v>
      </c>
      <c r="AN152" s="33">
        <v>21</v>
      </c>
      <c r="AO152" s="33">
        <f>H152*0</f>
        <v>0</v>
      </c>
      <c r="AP152" s="33">
        <f>H152*(1-0)</f>
        <v>0</v>
      </c>
      <c r="AQ152" s="27" t="s">
        <v>11</v>
      </c>
      <c r="AV152" s="33">
        <f>AW152+AX152</f>
        <v>0</v>
      </c>
      <c r="AW152" s="33">
        <f>G152*AO152</f>
        <v>0</v>
      </c>
      <c r="AX152" s="33">
        <f>G152*AP152</f>
        <v>0</v>
      </c>
      <c r="AY152" s="34" t="s">
        <v>956</v>
      </c>
      <c r="AZ152" s="34" t="s">
        <v>1000</v>
      </c>
      <c r="BA152" s="28" t="s">
        <v>1007</v>
      </c>
      <c r="BC152" s="33">
        <f>AW152+AX152</f>
        <v>0</v>
      </c>
      <c r="BD152" s="33">
        <f>H152/(100-BE152)*100</f>
        <v>0</v>
      </c>
      <c r="BE152" s="33">
        <v>0</v>
      </c>
      <c r="BF152" s="33">
        <f>156</f>
        <v>156</v>
      </c>
      <c r="BH152" s="16">
        <f>G152*AO152</f>
        <v>0</v>
      </c>
      <c r="BI152" s="16">
        <f>G152*AP152</f>
        <v>0</v>
      </c>
      <c r="BJ152" s="16">
        <f>G152*H152</f>
        <v>0</v>
      </c>
    </row>
    <row r="153" spans="1:62" ht="12.75">
      <c r="A153" s="4" t="s">
        <v>127</v>
      </c>
      <c r="B153" s="4" t="s">
        <v>402</v>
      </c>
      <c r="C153" s="107" t="s">
        <v>716</v>
      </c>
      <c r="D153" s="108"/>
      <c r="E153" s="108"/>
      <c r="F153" s="4" t="s">
        <v>896</v>
      </c>
      <c r="G153" s="16">
        <v>6</v>
      </c>
      <c r="H153" s="16">
        <v>0</v>
      </c>
      <c r="I153" s="16">
        <f>G153*AO153</f>
        <v>0</v>
      </c>
      <c r="J153" s="16">
        <f>G153*AP153</f>
        <v>0</v>
      </c>
      <c r="K153" s="16">
        <f>G153*H153</f>
        <v>0</v>
      </c>
      <c r="L153" s="27" t="s">
        <v>922</v>
      </c>
      <c r="Z153" s="33">
        <f>IF(AQ153="5",BJ153,0)</f>
        <v>0</v>
      </c>
      <c r="AB153" s="33">
        <f>IF(AQ153="1",BH153,0)</f>
        <v>0</v>
      </c>
      <c r="AC153" s="33">
        <f>IF(AQ153="1",BI153,0)</f>
        <v>0</v>
      </c>
      <c r="AD153" s="33">
        <f>IF(AQ153="7",BH153,0)</f>
        <v>0</v>
      </c>
      <c r="AE153" s="33">
        <f>IF(AQ153="7",BI153,0)</f>
        <v>0</v>
      </c>
      <c r="AF153" s="33">
        <f>IF(AQ153="2",BH153,0)</f>
        <v>0</v>
      </c>
      <c r="AG153" s="33">
        <f>IF(AQ153="2",BI153,0)</f>
        <v>0</v>
      </c>
      <c r="AH153" s="33">
        <f>IF(AQ153="0",BJ153,0)</f>
        <v>0</v>
      </c>
      <c r="AI153" s="28"/>
      <c r="AJ153" s="16">
        <f>IF(AN153=0,K153,0)</f>
        <v>0</v>
      </c>
      <c r="AK153" s="16">
        <f>IF(AN153=15,K153,0)</f>
        <v>0</v>
      </c>
      <c r="AL153" s="16">
        <f>IF(AN153=21,K153,0)</f>
        <v>0</v>
      </c>
      <c r="AN153" s="33">
        <v>21</v>
      </c>
      <c r="AO153" s="33">
        <f>H153*0</f>
        <v>0</v>
      </c>
      <c r="AP153" s="33">
        <f>H153*(1-0)</f>
        <v>0</v>
      </c>
      <c r="AQ153" s="27" t="s">
        <v>11</v>
      </c>
      <c r="AV153" s="33">
        <f>AW153+AX153</f>
        <v>0</v>
      </c>
      <c r="AW153" s="33">
        <f>G153*AO153</f>
        <v>0</v>
      </c>
      <c r="AX153" s="33">
        <f>G153*AP153</f>
        <v>0</v>
      </c>
      <c r="AY153" s="34" t="s">
        <v>956</v>
      </c>
      <c r="AZ153" s="34" t="s">
        <v>1000</v>
      </c>
      <c r="BA153" s="28" t="s">
        <v>1007</v>
      </c>
      <c r="BC153" s="33">
        <f>AW153+AX153</f>
        <v>0</v>
      </c>
      <c r="BD153" s="33">
        <f>H153/(100-BE153)*100</f>
        <v>0</v>
      </c>
      <c r="BE153" s="33">
        <v>0</v>
      </c>
      <c r="BF153" s="33">
        <f>157</f>
        <v>157</v>
      </c>
      <c r="BH153" s="16">
        <f>G153*AO153</f>
        <v>0</v>
      </c>
      <c r="BI153" s="16">
        <f>G153*AP153</f>
        <v>0</v>
      </c>
      <c r="BJ153" s="16">
        <f>G153*H153</f>
        <v>0</v>
      </c>
    </row>
    <row r="154" spans="1:62" ht="12.75">
      <c r="A154" s="4" t="s">
        <v>128</v>
      </c>
      <c r="B154" s="4" t="s">
        <v>403</v>
      </c>
      <c r="C154" s="107" t="s">
        <v>717</v>
      </c>
      <c r="D154" s="108"/>
      <c r="E154" s="108"/>
      <c r="F154" s="4" t="s">
        <v>901</v>
      </c>
      <c r="G154" s="16">
        <v>1</v>
      </c>
      <c r="H154" s="16">
        <v>0</v>
      </c>
      <c r="I154" s="16">
        <f>G154*AO154</f>
        <v>0</v>
      </c>
      <c r="J154" s="16">
        <f>G154*AP154</f>
        <v>0</v>
      </c>
      <c r="K154" s="16">
        <f>G154*H154</f>
        <v>0</v>
      </c>
      <c r="L154" s="27" t="s">
        <v>922</v>
      </c>
      <c r="Z154" s="33">
        <f>IF(AQ154="5",BJ154,0)</f>
        <v>0</v>
      </c>
      <c r="AB154" s="33">
        <f>IF(AQ154="1",BH154,0)</f>
        <v>0</v>
      </c>
      <c r="AC154" s="33">
        <f>IF(AQ154="1",BI154,0)</f>
        <v>0</v>
      </c>
      <c r="AD154" s="33">
        <f>IF(AQ154="7",BH154,0)</f>
        <v>0</v>
      </c>
      <c r="AE154" s="33">
        <f>IF(AQ154="7",BI154,0)</f>
        <v>0</v>
      </c>
      <c r="AF154" s="33">
        <f>IF(AQ154="2",BH154,0)</f>
        <v>0</v>
      </c>
      <c r="AG154" s="33">
        <f>IF(AQ154="2",BI154,0)</f>
        <v>0</v>
      </c>
      <c r="AH154" s="33">
        <f>IF(AQ154="0",BJ154,0)</f>
        <v>0</v>
      </c>
      <c r="AI154" s="28"/>
      <c r="AJ154" s="16">
        <f>IF(AN154=0,K154,0)</f>
        <v>0</v>
      </c>
      <c r="AK154" s="16">
        <f>IF(AN154=15,K154,0)</f>
        <v>0</v>
      </c>
      <c r="AL154" s="16">
        <f>IF(AN154=21,K154,0)</f>
        <v>0</v>
      </c>
      <c r="AN154" s="33">
        <v>21</v>
      </c>
      <c r="AO154" s="33">
        <f>H154*0.344827586206897</f>
        <v>0</v>
      </c>
      <c r="AP154" s="33">
        <f>H154*(1-0.344827586206897)</f>
        <v>0</v>
      </c>
      <c r="AQ154" s="27" t="s">
        <v>11</v>
      </c>
      <c r="AV154" s="33">
        <f>AW154+AX154</f>
        <v>0</v>
      </c>
      <c r="AW154" s="33">
        <f>G154*AO154</f>
        <v>0</v>
      </c>
      <c r="AX154" s="33">
        <f>G154*AP154</f>
        <v>0</v>
      </c>
      <c r="AY154" s="34" t="s">
        <v>956</v>
      </c>
      <c r="AZ154" s="34" t="s">
        <v>1000</v>
      </c>
      <c r="BA154" s="28" t="s">
        <v>1007</v>
      </c>
      <c r="BC154" s="33">
        <f>AW154+AX154</f>
        <v>0</v>
      </c>
      <c r="BD154" s="33">
        <f>H154/(100-BE154)*100</f>
        <v>0</v>
      </c>
      <c r="BE154" s="33">
        <v>0</v>
      </c>
      <c r="BF154" s="33">
        <f>158</f>
        <v>158</v>
      </c>
      <c r="BH154" s="16">
        <f>G154*AO154</f>
        <v>0</v>
      </c>
      <c r="BI154" s="16">
        <f>G154*AP154</f>
        <v>0</v>
      </c>
      <c r="BJ154" s="16">
        <f>G154*H154</f>
        <v>0</v>
      </c>
    </row>
    <row r="155" spans="1:62" ht="12.75">
      <c r="A155" s="6" t="s">
        <v>129</v>
      </c>
      <c r="B155" s="6" t="s">
        <v>404</v>
      </c>
      <c r="C155" s="111" t="s">
        <v>1282</v>
      </c>
      <c r="D155" s="112"/>
      <c r="E155" s="112"/>
      <c r="F155" s="6" t="s">
        <v>896</v>
      </c>
      <c r="G155" s="17">
        <v>1</v>
      </c>
      <c r="H155" s="17">
        <v>0</v>
      </c>
      <c r="I155" s="17">
        <f>G155*AO155</f>
        <v>0</v>
      </c>
      <c r="J155" s="17">
        <f>G155*AP155</f>
        <v>0</v>
      </c>
      <c r="K155" s="17">
        <f>G155*H155</f>
        <v>0</v>
      </c>
      <c r="L155" s="29" t="s">
        <v>922</v>
      </c>
      <c r="Z155" s="33">
        <f>IF(AQ155="5",BJ155,0)</f>
        <v>0</v>
      </c>
      <c r="AB155" s="33">
        <f>IF(AQ155="1",BH155,0)</f>
        <v>0</v>
      </c>
      <c r="AC155" s="33">
        <f>IF(AQ155="1",BI155,0)</f>
        <v>0</v>
      </c>
      <c r="AD155" s="33">
        <f>IF(AQ155="7",BH155,0)</f>
        <v>0</v>
      </c>
      <c r="AE155" s="33">
        <f>IF(AQ155="7",BI155,0)</f>
        <v>0</v>
      </c>
      <c r="AF155" s="33">
        <f>IF(AQ155="2",BH155,0)</f>
        <v>0</v>
      </c>
      <c r="AG155" s="33">
        <f>IF(AQ155="2",BI155,0)</f>
        <v>0</v>
      </c>
      <c r="AH155" s="33">
        <f>IF(AQ155="0",BJ155,0)</f>
        <v>0</v>
      </c>
      <c r="AI155" s="28"/>
      <c r="AJ155" s="17">
        <f>IF(AN155=0,K155,0)</f>
        <v>0</v>
      </c>
      <c r="AK155" s="17">
        <f>IF(AN155=15,K155,0)</f>
        <v>0</v>
      </c>
      <c r="AL155" s="17">
        <f>IF(AN155=21,K155,0)</f>
        <v>0</v>
      </c>
      <c r="AN155" s="33">
        <v>21</v>
      </c>
      <c r="AO155" s="33">
        <f>H155*1</f>
        <v>0</v>
      </c>
      <c r="AP155" s="33">
        <f>H155*(1-1)</f>
        <v>0</v>
      </c>
      <c r="AQ155" s="29" t="s">
        <v>11</v>
      </c>
      <c r="AV155" s="33">
        <f>AW155+AX155</f>
        <v>0</v>
      </c>
      <c r="AW155" s="33">
        <f>G155*AO155</f>
        <v>0</v>
      </c>
      <c r="AX155" s="33">
        <f>G155*AP155</f>
        <v>0</v>
      </c>
      <c r="AY155" s="34" t="s">
        <v>956</v>
      </c>
      <c r="AZ155" s="34" t="s">
        <v>1000</v>
      </c>
      <c r="BA155" s="28" t="s">
        <v>1007</v>
      </c>
      <c r="BC155" s="33">
        <f>AW155+AX155</f>
        <v>0</v>
      </c>
      <c r="BD155" s="33">
        <f>H155/(100-BE155)*100</f>
        <v>0</v>
      </c>
      <c r="BE155" s="33">
        <v>0</v>
      </c>
      <c r="BF155" s="33">
        <f>159</f>
        <v>159</v>
      </c>
      <c r="BH155" s="17">
        <f>G155*AO155</f>
        <v>0</v>
      </c>
      <c r="BI155" s="17">
        <f>G155*AP155</f>
        <v>0</v>
      </c>
      <c r="BJ155" s="17">
        <f>G155*H155</f>
        <v>0</v>
      </c>
    </row>
    <row r="156" spans="1:47" ht="12.75">
      <c r="A156" s="5"/>
      <c r="B156" s="13" t="s">
        <v>405</v>
      </c>
      <c r="C156" s="109" t="s">
        <v>718</v>
      </c>
      <c r="D156" s="110"/>
      <c r="E156" s="110"/>
      <c r="F156" s="5" t="s">
        <v>6</v>
      </c>
      <c r="G156" s="5" t="s">
        <v>6</v>
      </c>
      <c r="H156" s="5" t="s">
        <v>6</v>
      </c>
      <c r="I156" s="36">
        <f>SUM(I157:I159)</f>
        <v>0</v>
      </c>
      <c r="J156" s="36">
        <f>SUM(J157:J159)</f>
        <v>0</v>
      </c>
      <c r="K156" s="36">
        <f>SUM(K157:K159)</f>
        <v>0</v>
      </c>
      <c r="L156" s="28"/>
      <c r="AI156" s="28"/>
      <c r="AS156" s="36">
        <f>SUM(AJ157:AJ159)</f>
        <v>0</v>
      </c>
      <c r="AT156" s="36">
        <f>SUM(AK157:AK159)</f>
        <v>0</v>
      </c>
      <c r="AU156" s="36">
        <f>SUM(AL157:AL159)</f>
        <v>0</v>
      </c>
    </row>
    <row r="157" spans="1:62" ht="12.75">
      <c r="A157" s="4" t="s">
        <v>130</v>
      </c>
      <c r="B157" s="4" t="s">
        <v>406</v>
      </c>
      <c r="C157" s="107" t="s">
        <v>719</v>
      </c>
      <c r="D157" s="108"/>
      <c r="E157" s="108"/>
      <c r="F157" s="4" t="s">
        <v>899</v>
      </c>
      <c r="G157" s="16">
        <v>12</v>
      </c>
      <c r="H157" s="16">
        <v>0</v>
      </c>
      <c r="I157" s="16">
        <f>G157*AO157</f>
        <v>0</v>
      </c>
      <c r="J157" s="16">
        <f>G157*AP157</f>
        <v>0</v>
      </c>
      <c r="K157" s="16">
        <f>G157*H157</f>
        <v>0</v>
      </c>
      <c r="L157" s="27" t="s">
        <v>922</v>
      </c>
      <c r="Z157" s="33">
        <f>IF(AQ157="5",BJ157,0)</f>
        <v>0</v>
      </c>
      <c r="AB157" s="33">
        <f>IF(AQ157="1",BH157,0)</f>
        <v>0</v>
      </c>
      <c r="AC157" s="33">
        <f>IF(AQ157="1",BI157,0)</f>
        <v>0</v>
      </c>
      <c r="AD157" s="33">
        <f>IF(AQ157="7",BH157,0)</f>
        <v>0</v>
      </c>
      <c r="AE157" s="33">
        <f>IF(AQ157="7",BI157,0)</f>
        <v>0</v>
      </c>
      <c r="AF157" s="33">
        <f>IF(AQ157="2",BH157,0)</f>
        <v>0</v>
      </c>
      <c r="AG157" s="33">
        <f>IF(AQ157="2",BI157,0)</f>
        <v>0</v>
      </c>
      <c r="AH157" s="33">
        <f>IF(AQ157="0",BJ157,0)</f>
        <v>0</v>
      </c>
      <c r="AI157" s="28"/>
      <c r="AJ157" s="16">
        <f>IF(AN157=0,K157,0)</f>
        <v>0</v>
      </c>
      <c r="AK157" s="16">
        <f>IF(AN157=15,K157,0)</f>
        <v>0</v>
      </c>
      <c r="AL157" s="16">
        <f>IF(AN157=21,K157,0)</f>
        <v>0</v>
      </c>
      <c r="AN157" s="33">
        <v>21</v>
      </c>
      <c r="AO157" s="33">
        <f>H157*0.687207887264326</f>
        <v>0</v>
      </c>
      <c r="AP157" s="33">
        <f>H157*(1-0.687207887264326)</f>
        <v>0</v>
      </c>
      <c r="AQ157" s="27" t="s">
        <v>11</v>
      </c>
      <c r="AV157" s="33">
        <f>AW157+AX157</f>
        <v>0</v>
      </c>
      <c r="AW157" s="33">
        <f>G157*AO157</f>
        <v>0</v>
      </c>
      <c r="AX157" s="33">
        <f>G157*AP157</f>
        <v>0</v>
      </c>
      <c r="AY157" s="34" t="s">
        <v>957</v>
      </c>
      <c r="AZ157" s="34" t="s">
        <v>1001</v>
      </c>
      <c r="BA157" s="28" t="s">
        <v>1007</v>
      </c>
      <c r="BC157" s="33">
        <f>AW157+AX157</f>
        <v>0</v>
      </c>
      <c r="BD157" s="33">
        <f>H157/(100-BE157)*100</f>
        <v>0</v>
      </c>
      <c r="BE157" s="33">
        <v>0</v>
      </c>
      <c r="BF157" s="33">
        <f>161</f>
        <v>161</v>
      </c>
      <c r="BH157" s="16">
        <f>G157*AO157</f>
        <v>0</v>
      </c>
      <c r="BI157" s="16">
        <f>G157*AP157</f>
        <v>0</v>
      </c>
      <c r="BJ157" s="16">
        <f>G157*H157</f>
        <v>0</v>
      </c>
    </row>
    <row r="158" spans="1:62" ht="12.75">
      <c r="A158" s="4" t="s">
        <v>131</v>
      </c>
      <c r="B158" s="4" t="s">
        <v>407</v>
      </c>
      <c r="C158" s="107" t="s">
        <v>720</v>
      </c>
      <c r="D158" s="108"/>
      <c r="E158" s="108"/>
      <c r="F158" s="4" t="s">
        <v>899</v>
      </c>
      <c r="G158" s="16">
        <v>34</v>
      </c>
      <c r="H158" s="16">
        <v>0</v>
      </c>
      <c r="I158" s="16">
        <f>G158*AO158</f>
        <v>0</v>
      </c>
      <c r="J158" s="16">
        <f>G158*AP158</f>
        <v>0</v>
      </c>
      <c r="K158" s="16">
        <f>G158*H158</f>
        <v>0</v>
      </c>
      <c r="L158" s="27" t="s">
        <v>922</v>
      </c>
      <c r="Z158" s="33">
        <f>IF(AQ158="5",BJ158,0)</f>
        <v>0</v>
      </c>
      <c r="AB158" s="33">
        <f>IF(AQ158="1",BH158,0)</f>
        <v>0</v>
      </c>
      <c r="AC158" s="33">
        <f>IF(AQ158="1",BI158,0)</f>
        <v>0</v>
      </c>
      <c r="AD158" s="33">
        <f>IF(AQ158="7",BH158,0)</f>
        <v>0</v>
      </c>
      <c r="AE158" s="33">
        <f>IF(AQ158="7",BI158,0)</f>
        <v>0</v>
      </c>
      <c r="AF158" s="33">
        <f>IF(AQ158="2",BH158,0)</f>
        <v>0</v>
      </c>
      <c r="AG158" s="33">
        <f>IF(AQ158="2",BI158,0)</f>
        <v>0</v>
      </c>
      <c r="AH158" s="33">
        <f>IF(AQ158="0",BJ158,0)</f>
        <v>0</v>
      </c>
      <c r="AI158" s="28"/>
      <c r="AJ158" s="16">
        <f>IF(AN158=0,K158,0)</f>
        <v>0</v>
      </c>
      <c r="AK158" s="16">
        <f>IF(AN158=15,K158,0)</f>
        <v>0</v>
      </c>
      <c r="AL158" s="16">
        <f>IF(AN158=21,K158,0)</f>
        <v>0</v>
      </c>
      <c r="AN158" s="33">
        <v>21</v>
      </c>
      <c r="AO158" s="33">
        <f>H158*0.604730679156909</f>
        <v>0</v>
      </c>
      <c r="AP158" s="33">
        <f>H158*(1-0.604730679156909)</f>
        <v>0</v>
      </c>
      <c r="AQ158" s="27" t="s">
        <v>11</v>
      </c>
      <c r="AV158" s="33">
        <f>AW158+AX158</f>
        <v>0</v>
      </c>
      <c r="AW158" s="33">
        <f>G158*AO158</f>
        <v>0</v>
      </c>
      <c r="AX158" s="33">
        <f>G158*AP158</f>
        <v>0</v>
      </c>
      <c r="AY158" s="34" t="s">
        <v>957</v>
      </c>
      <c r="AZ158" s="34" t="s">
        <v>1001</v>
      </c>
      <c r="BA158" s="28" t="s">
        <v>1007</v>
      </c>
      <c r="BC158" s="33">
        <f>AW158+AX158</f>
        <v>0</v>
      </c>
      <c r="BD158" s="33">
        <f>H158/(100-BE158)*100</f>
        <v>0</v>
      </c>
      <c r="BE158" s="33">
        <v>0</v>
      </c>
      <c r="BF158" s="33">
        <f>162</f>
        <v>162</v>
      </c>
      <c r="BH158" s="16">
        <f>G158*AO158</f>
        <v>0</v>
      </c>
      <c r="BI158" s="16">
        <f>G158*AP158</f>
        <v>0</v>
      </c>
      <c r="BJ158" s="16">
        <f>G158*H158</f>
        <v>0</v>
      </c>
    </row>
    <row r="159" spans="1:62" ht="12.75">
      <c r="A159" s="4" t="s">
        <v>132</v>
      </c>
      <c r="B159" s="4" t="s">
        <v>408</v>
      </c>
      <c r="C159" s="107" t="s">
        <v>721</v>
      </c>
      <c r="D159" s="108"/>
      <c r="E159" s="108"/>
      <c r="F159" s="4" t="s">
        <v>901</v>
      </c>
      <c r="G159" s="16">
        <v>1</v>
      </c>
      <c r="H159" s="16">
        <v>0</v>
      </c>
      <c r="I159" s="16">
        <f>G159*AO159</f>
        <v>0</v>
      </c>
      <c r="J159" s="16">
        <f>G159*AP159</f>
        <v>0</v>
      </c>
      <c r="K159" s="16">
        <f>G159*H159</f>
        <v>0</v>
      </c>
      <c r="L159" s="27" t="s">
        <v>922</v>
      </c>
      <c r="Z159" s="33">
        <f>IF(AQ159="5",BJ159,0)</f>
        <v>0</v>
      </c>
      <c r="AB159" s="33">
        <f>IF(AQ159="1",BH159,0)</f>
        <v>0</v>
      </c>
      <c r="AC159" s="33">
        <f>IF(AQ159="1",BI159,0)</f>
        <v>0</v>
      </c>
      <c r="AD159" s="33">
        <f>IF(AQ159="7",BH159,0)</f>
        <v>0</v>
      </c>
      <c r="AE159" s="33">
        <f>IF(AQ159="7",BI159,0)</f>
        <v>0</v>
      </c>
      <c r="AF159" s="33">
        <f>IF(AQ159="2",BH159,0)</f>
        <v>0</v>
      </c>
      <c r="AG159" s="33">
        <f>IF(AQ159="2",BI159,0)</f>
        <v>0</v>
      </c>
      <c r="AH159" s="33">
        <f>IF(AQ159="0",BJ159,0)</f>
        <v>0</v>
      </c>
      <c r="AI159" s="28"/>
      <c r="AJ159" s="16">
        <f>IF(AN159=0,K159,0)</f>
        <v>0</v>
      </c>
      <c r="AK159" s="16">
        <f>IF(AN159=15,K159,0)</f>
        <v>0</v>
      </c>
      <c r="AL159" s="16">
        <f>IF(AN159=21,K159,0)</f>
        <v>0</v>
      </c>
      <c r="AN159" s="33">
        <v>21</v>
      </c>
      <c r="AO159" s="33">
        <f>H159*0.167997849627525</f>
        <v>0</v>
      </c>
      <c r="AP159" s="33">
        <f>H159*(1-0.167997849627525)</f>
        <v>0</v>
      </c>
      <c r="AQ159" s="27" t="s">
        <v>11</v>
      </c>
      <c r="AV159" s="33">
        <f>AW159+AX159</f>
        <v>0</v>
      </c>
      <c r="AW159" s="33">
        <f>G159*AO159</f>
        <v>0</v>
      </c>
      <c r="AX159" s="33">
        <f>G159*AP159</f>
        <v>0</v>
      </c>
      <c r="AY159" s="34" t="s">
        <v>957</v>
      </c>
      <c r="AZ159" s="34" t="s">
        <v>1001</v>
      </c>
      <c r="BA159" s="28" t="s">
        <v>1007</v>
      </c>
      <c r="BC159" s="33">
        <f>AW159+AX159</f>
        <v>0</v>
      </c>
      <c r="BD159" s="33">
        <f>H159/(100-BE159)*100</f>
        <v>0</v>
      </c>
      <c r="BE159" s="33">
        <v>0</v>
      </c>
      <c r="BF159" s="33">
        <f>163</f>
        <v>163</v>
      </c>
      <c r="BH159" s="16">
        <f>G159*AO159</f>
        <v>0</v>
      </c>
      <c r="BI159" s="16">
        <f>G159*AP159</f>
        <v>0</v>
      </c>
      <c r="BJ159" s="16">
        <f>G159*H159</f>
        <v>0</v>
      </c>
    </row>
    <row r="160" spans="1:47" ht="12.75">
      <c r="A160" s="5"/>
      <c r="B160" s="13" t="s">
        <v>409</v>
      </c>
      <c r="C160" s="109" t="s">
        <v>722</v>
      </c>
      <c r="D160" s="110"/>
      <c r="E160" s="110"/>
      <c r="F160" s="5" t="s">
        <v>6</v>
      </c>
      <c r="G160" s="5" t="s">
        <v>6</v>
      </c>
      <c r="H160" s="5" t="s">
        <v>6</v>
      </c>
      <c r="I160" s="36">
        <f>SUM(I161:I165)</f>
        <v>0</v>
      </c>
      <c r="J160" s="36">
        <f>SUM(J161:J165)</f>
        <v>0</v>
      </c>
      <c r="K160" s="36">
        <f>SUM(K161:K165)</f>
        <v>0</v>
      </c>
      <c r="L160" s="28"/>
      <c r="AI160" s="28"/>
      <c r="AS160" s="36">
        <f>SUM(AJ161:AJ165)</f>
        <v>0</v>
      </c>
      <c r="AT160" s="36">
        <f>SUM(AK161:AK165)</f>
        <v>0</v>
      </c>
      <c r="AU160" s="36">
        <f>SUM(AL161:AL165)</f>
        <v>0</v>
      </c>
    </row>
    <row r="161" spans="1:62" ht="12.75">
      <c r="A161" s="4" t="s">
        <v>133</v>
      </c>
      <c r="B161" s="4" t="s">
        <v>410</v>
      </c>
      <c r="C161" s="107" t="s">
        <v>723</v>
      </c>
      <c r="D161" s="108"/>
      <c r="E161" s="108"/>
      <c r="F161" s="4" t="s">
        <v>896</v>
      </c>
      <c r="G161" s="16">
        <v>4</v>
      </c>
      <c r="H161" s="16">
        <v>0</v>
      </c>
      <c r="I161" s="16">
        <f>G161*AO161</f>
        <v>0</v>
      </c>
      <c r="J161" s="16">
        <f>G161*AP161</f>
        <v>0</v>
      </c>
      <c r="K161" s="16">
        <f>G161*H161</f>
        <v>0</v>
      </c>
      <c r="L161" s="27" t="s">
        <v>922</v>
      </c>
      <c r="Z161" s="33">
        <f>IF(AQ161="5",BJ161,0)</f>
        <v>0</v>
      </c>
      <c r="AB161" s="33">
        <f>IF(AQ161="1",BH161,0)</f>
        <v>0</v>
      </c>
      <c r="AC161" s="33">
        <f>IF(AQ161="1",BI161,0)</f>
        <v>0</v>
      </c>
      <c r="AD161" s="33">
        <f>IF(AQ161="7",BH161,0)</f>
        <v>0</v>
      </c>
      <c r="AE161" s="33">
        <f>IF(AQ161="7",BI161,0)</f>
        <v>0</v>
      </c>
      <c r="AF161" s="33">
        <f>IF(AQ161="2",BH161,0)</f>
        <v>0</v>
      </c>
      <c r="AG161" s="33">
        <f>IF(AQ161="2",BI161,0)</f>
        <v>0</v>
      </c>
      <c r="AH161" s="33">
        <f>IF(AQ161="0",BJ161,0)</f>
        <v>0</v>
      </c>
      <c r="AI161" s="28"/>
      <c r="AJ161" s="16">
        <f>IF(AN161=0,K161,0)</f>
        <v>0</v>
      </c>
      <c r="AK161" s="16">
        <f>IF(AN161=15,K161,0)</f>
        <v>0</v>
      </c>
      <c r="AL161" s="16">
        <f>IF(AN161=21,K161,0)</f>
        <v>0</v>
      </c>
      <c r="AN161" s="33">
        <v>21</v>
      </c>
      <c r="AO161" s="33">
        <f>H161*0.481136863474877</f>
        <v>0</v>
      </c>
      <c r="AP161" s="33">
        <f>H161*(1-0.481136863474877)</f>
        <v>0</v>
      </c>
      <c r="AQ161" s="27" t="s">
        <v>11</v>
      </c>
      <c r="AV161" s="33">
        <f>AW161+AX161</f>
        <v>0</v>
      </c>
      <c r="AW161" s="33">
        <f>G161*AO161</f>
        <v>0</v>
      </c>
      <c r="AX161" s="33">
        <f>G161*AP161</f>
        <v>0</v>
      </c>
      <c r="AY161" s="34" t="s">
        <v>958</v>
      </c>
      <c r="AZ161" s="34" t="s">
        <v>1001</v>
      </c>
      <c r="BA161" s="28" t="s">
        <v>1007</v>
      </c>
      <c r="BC161" s="33">
        <f>AW161+AX161</f>
        <v>0</v>
      </c>
      <c r="BD161" s="33">
        <f>H161/(100-BE161)*100</f>
        <v>0</v>
      </c>
      <c r="BE161" s="33">
        <v>0</v>
      </c>
      <c r="BF161" s="33">
        <f>165</f>
        <v>165</v>
      </c>
      <c r="BH161" s="16">
        <f>G161*AO161</f>
        <v>0</v>
      </c>
      <c r="BI161" s="16">
        <f>G161*AP161</f>
        <v>0</v>
      </c>
      <c r="BJ161" s="16">
        <f>G161*H161</f>
        <v>0</v>
      </c>
    </row>
    <row r="162" spans="1:62" ht="12.75">
      <c r="A162" s="4" t="s">
        <v>134</v>
      </c>
      <c r="B162" s="4" t="s">
        <v>411</v>
      </c>
      <c r="C162" s="107" t="s">
        <v>724</v>
      </c>
      <c r="D162" s="108"/>
      <c r="E162" s="108"/>
      <c r="F162" s="4" t="s">
        <v>896</v>
      </c>
      <c r="G162" s="16">
        <v>4</v>
      </c>
      <c r="H162" s="16">
        <v>0</v>
      </c>
      <c r="I162" s="16">
        <f>G162*AO162</f>
        <v>0</v>
      </c>
      <c r="J162" s="16">
        <f>G162*AP162</f>
        <v>0</v>
      </c>
      <c r="K162" s="16">
        <f>G162*H162</f>
        <v>0</v>
      </c>
      <c r="L162" s="27" t="s">
        <v>922</v>
      </c>
      <c r="Z162" s="33">
        <f>IF(AQ162="5",BJ162,0)</f>
        <v>0</v>
      </c>
      <c r="AB162" s="33">
        <f>IF(AQ162="1",BH162,0)</f>
        <v>0</v>
      </c>
      <c r="AC162" s="33">
        <f>IF(AQ162="1",BI162,0)</f>
        <v>0</v>
      </c>
      <c r="AD162" s="33">
        <f>IF(AQ162="7",BH162,0)</f>
        <v>0</v>
      </c>
      <c r="AE162" s="33">
        <f>IF(AQ162="7",BI162,0)</f>
        <v>0</v>
      </c>
      <c r="AF162" s="33">
        <f>IF(AQ162="2",BH162,0)</f>
        <v>0</v>
      </c>
      <c r="AG162" s="33">
        <f>IF(AQ162="2",BI162,0)</f>
        <v>0</v>
      </c>
      <c r="AH162" s="33">
        <f>IF(AQ162="0",BJ162,0)</f>
        <v>0</v>
      </c>
      <c r="AI162" s="28"/>
      <c r="AJ162" s="16">
        <f>IF(AN162=0,K162,0)</f>
        <v>0</v>
      </c>
      <c r="AK162" s="16">
        <f>IF(AN162=15,K162,0)</f>
        <v>0</v>
      </c>
      <c r="AL162" s="16">
        <f>IF(AN162=21,K162,0)</f>
        <v>0</v>
      </c>
      <c r="AN162" s="33">
        <v>21</v>
      </c>
      <c r="AO162" s="33">
        <f>H162*0.88494717456625</f>
        <v>0</v>
      </c>
      <c r="AP162" s="33">
        <f>H162*(1-0.88494717456625)</f>
        <v>0</v>
      </c>
      <c r="AQ162" s="27" t="s">
        <v>11</v>
      </c>
      <c r="AV162" s="33">
        <f>AW162+AX162</f>
        <v>0</v>
      </c>
      <c r="AW162" s="33">
        <f>G162*AO162</f>
        <v>0</v>
      </c>
      <c r="AX162" s="33">
        <f>G162*AP162</f>
        <v>0</v>
      </c>
      <c r="AY162" s="34" t="s">
        <v>958</v>
      </c>
      <c r="AZ162" s="34" t="s">
        <v>1001</v>
      </c>
      <c r="BA162" s="28" t="s">
        <v>1007</v>
      </c>
      <c r="BC162" s="33">
        <f>AW162+AX162</f>
        <v>0</v>
      </c>
      <c r="BD162" s="33">
        <f>H162/(100-BE162)*100</f>
        <v>0</v>
      </c>
      <c r="BE162" s="33">
        <v>0</v>
      </c>
      <c r="BF162" s="33">
        <f>166</f>
        <v>166</v>
      </c>
      <c r="BH162" s="16">
        <f>G162*AO162</f>
        <v>0</v>
      </c>
      <c r="BI162" s="16">
        <f>G162*AP162</f>
        <v>0</v>
      </c>
      <c r="BJ162" s="16">
        <f>G162*H162</f>
        <v>0</v>
      </c>
    </row>
    <row r="163" spans="1:62" ht="12.75">
      <c r="A163" s="4" t="s">
        <v>135</v>
      </c>
      <c r="B163" s="4" t="s">
        <v>412</v>
      </c>
      <c r="C163" s="107" t="s">
        <v>1283</v>
      </c>
      <c r="D163" s="108"/>
      <c r="E163" s="108"/>
      <c r="F163" s="4" t="s">
        <v>896</v>
      </c>
      <c r="G163" s="16">
        <v>4</v>
      </c>
      <c r="H163" s="16">
        <v>0</v>
      </c>
      <c r="I163" s="16">
        <f>G163*AO163</f>
        <v>0</v>
      </c>
      <c r="J163" s="16">
        <f>G163*AP163</f>
        <v>0</v>
      </c>
      <c r="K163" s="16">
        <f>G163*H163</f>
        <v>0</v>
      </c>
      <c r="L163" s="27" t="s">
        <v>922</v>
      </c>
      <c r="Z163" s="33">
        <f>IF(AQ163="5",BJ163,0)</f>
        <v>0</v>
      </c>
      <c r="AB163" s="33">
        <f>IF(AQ163="1",BH163,0)</f>
        <v>0</v>
      </c>
      <c r="AC163" s="33">
        <f>IF(AQ163="1",BI163,0)</f>
        <v>0</v>
      </c>
      <c r="AD163" s="33">
        <f>IF(AQ163="7",BH163,0)</f>
        <v>0</v>
      </c>
      <c r="AE163" s="33">
        <f>IF(AQ163="7",BI163,0)</f>
        <v>0</v>
      </c>
      <c r="AF163" s="33">
        <f>IF(AQ163="2",BH163,0)</f>
        <v>0</v>
      </c>
      <c r="AG163" s="33">
        <f>IF(AQ163="2",BI163,0)</f>
        <v>0</v>
      </c>
      <c r="AH163" s="33">
        <f>IF(AQ163="0",BJ163,0)</f>
        <v>0</v>
      </c>
      <c r="AI163" s="28"/>
      <c r="AJ163" s="16">
        <f>IF(AN163=0,K163,0)</f>
        <v>0</v>
      </c>
      <c r="AK163" s="16">
        <f>IF(AN163=15,K163,0)</f>
        <v>0</v>
      </c>
      <c r="AL163" s="16">
        <f>IF(AN163=21,K163,0)</f>
        <v>0</v>
      </c>
      <c r="AN163" s="33">
        <v>21</v>
      </c>
      <c r="AO163" s="33">
        <f>H163*0.791696750902527</f>
        <v>0</v>
      </c>
      <c r="AP163" s="33">
        <f>H163*(1-0.791696750902527)</f>
        <v>0</v>
      </c>
      <c r="AQ163" s="27" t="s">
        <v>11</v>
      </c>
      <c r="AV163" s="33">
        <f>AW163+AX163</f>
        <v>0</v>
      </c>
      <c r="AW163" s="33">
        <f>G163*AO163</f>
        <v>0</v>
      </c>
      <c r="AX163" s="33">
        <f>G163*AP163</f>
        <v>0</v>
      </c>
      <c r="AY163" s="34" t="s">
        <v>958</v>
      </c>
      <c r="AZ163" s="34" t="s">
        <v>1001</v>
      </c>
      <c r="BA163" s="28" t="s">
        <v>1007</v>
      </c>
      <c r="BC163" s="33">
        <f>AW163+AX163</f>
        <v>0</v>
      </c>
      <c r="BD163" s="33">
        <f>H163/(100-BE163)*100</f>
        <v>0</v>
      </c>
      <c r="BE163" s="33">
        <v>0</v>
      </c>
      <c r="BF163" s="33">
        <f>167</f>
        <v>167</v>
      </c>
      <c r="BH163" s="16">
        <f>G163*AO163</f>
        <v>0</v>
      </c>
      <c r="BI163" s="16">
        <f>G163*AP163</f>
        <v>0</v>
      </c>
      <c r="BJ163" s="16">
        <f>G163*H163</f>
        <v>0</v>
      </c>
    </row>
    <row r="164" spans="1:62" ht="12.75">
      <c r="A164" s="4" t="s">
        <v>136</v>
      </c>
      <c r="B164" s="4" t="s">
        <v>413</v>
      </c>
      <c r="C164" s="107" t="s">
        <v>1284</v>
      </c>
      <c r="D164" s="108"/>
      <c r="E164" s="108"/>
      <c r="F164" s="4" t="s">
        <v>896</v>
      </c>
      <c r="G164" s="16">
        <v>8</v>
      </c>
      <c r="H164" s="16">
        <v>0</v>
      </c>
      <c r="I164" s="16">
        <f>G164*AO164</f>
        <v>0</v>
      </c>
      <c r="J164" s="16">
        <f>G164*AP164</f>
        <v>0</v>
      </c>
      <c r="K164" s="16">
        <f>G164*H164</f>
        <v>0</v>
      </c>
      <c r="L164" s="27" t="s">
        <v>922</v>
      </c>
      <c r="Z164" s="33">
        <f>IF(AQ164="5",BJ164,0)</f>
        <v>0</v>
      </c>
      <c r="AB164" s="33">
        <f>IF(AQ164="1",BH164,0)</f>
        <v>0</v>
      </c>
      <c r="AC164" s="33">
        <f>IF(AQ164="1",BI164,0)</f>
        <v>0</v>
      </c>
      <c r="AD164" s="33">
        <f>IF(AQ164="7",BH164,0)</f>
        <v>0</v>
      </c>
      <c r="AE164" s="33">
        <f>IF(AQ164="7",BI164,0)</f>
        <v>0</v>
      </c>
      <c r="AF164" s="33">
        <f>IF(AQ164="2",BH164,0)</f>
        <v>0</v>
      </c>
      <c r="AG164" s="33">
        <f>IF(AQ164="2",BI164,0)</f>
        <v>0</v>
      </c>
      <c r="AH164" s="33">
        <f>IF(AQ164="0",BJ164,0)</f>
        <v>0</v>
      </c>
      <c r="AI164" s="28"/>
      <c r="AJ164" s="16">
        <f>IF(AN164=0,K164,0)</f>
        <v>0</v>
      </c>
      <c r="AK164" s="16">
        <f>IF(AN164=15,K164,0)</f>
        <v>0</v>
      </c>
      <c r="AL164" s="16">
        <f>IF(AN164=21,K164,0)</f>
        <v>0</v>
      </c>
      <c r="AN164" s="33">
        <v>21</v>
      </c>
      <c r="AO164" s="33">
        <f>H164*0.81270207852194</f>
        <v>0</v>
      </c>
      <c r="AP164" s="33">
        <f>H164*(1-0.81270207852194)</f>
        <v>0</v>
      </c>
      <c r="AQ164" s="27" t="s">
        <v>11</v>
      </c>
      <c r="AV164" s="33">
        <f>AW164+AX164</f>
        <v>0</v>
      </c>
      <c r="AW164" s="33">
        <f>G164*AO164</f>
        <v>0</v>
      </c>
      <c r="AX164" s="33">
        <f>G164*AP164</f>
        <v>0</v>
      </c>
      <c r="AY164" s="34" t="s">
        <v>958</v>
      </c>
      <c r="AZ164" s="34" t="s">
        <v>1001</v>
      </c>
      <c r="BA164" s="28" t="s">
        <v>1007</v>
      </c>
      <c r="BC164" s="33">
        <f>AW164+AX164</f>
        <v>0</v>
      </c>
      <c r="BD164" s="33">
        <f>H164/(100-BE164)*100</f>
        <v>0</v>
      </c>
      <c r="BE164" s="33">
        <v>0</v>
      </c>
      <c r="BF164" s="33">
        <f>168</f>
        <v>168</v>
      </c>
      <c r="BH164" s="16">
        <f>G164*AO164</f>
        <v>0</v>
      </c>
      <c r="BI164" s="16">
        <f>G164*AP164</f>
        <v>0</v>
      </c>
      <c r="BJ164" s="16">
        <f>G164*H164</f>
        <v>0</v>
      </c>
    </row>
    <row r="165" spans="1:62" ht="12.75">
      <c r="A165" s="4" t="s">
        <v>137</v>
      </c>
      <c r="B165" s="4" t="s">
        <v>414</v>
      </c>
      <c r="C165" s="107" t="s">
        <v>1285</v>
      </c>
      <c r="D165" s="108"/>
      <c r="E165" s="108"/>
      <c r="F165" s="4" t="s">
        <v>896</v>
      </c>
      <c r="G165" s="16">
        <v>2</v>
      </c>
      <c r="H165" s="16">
        <v>0</v>
      </c>
      <c r="I165" s="16">
        <f>G165*AO165</f>
        <v>0</v>
      </c>
      <c r="J165" s="16">
        <f>G165*AP165</f>
        <v>0</v>
      </c>
      <c r="K165" s="16">
        <f>G165*H165</f>
        <v>0</v>
      </c>
      <c r="L165" s="27" t="s">
        <v>922</v>
      </c>
      <c r="Z165" s="33">
        <f>IF(AQ165="5",BJ165,0)</f>
        <v>0</v>
      </c>
      <c r="AB165" s="33">
        <f>IF(AQ165="1",BH165,0)</f>
        <v>0</v>
      </c>
      <c r="AC165" s="33">
        <f>IF(AQ165="1",BI165,0)</f>
        <v>0</v>
      </c>
      <c r="AD165" s="33">
        <f>IF(AQ165="7",BH165,0)</f>
        <v>0</v>
      </c>
      <c r="AE165" s="33">
        <f>IF(AQ165="7",BI165,0)</f>
        <v>0</v>
      </c>
      <c r="AF165" s="33">
        <f>IF(AQ165="2",BH165,0)</f>
        <v>0</v>
      </c>
      <c r="AG165" s="33">
        <f>IF(AQ165="2",BI165,0)</f>
        <v>0</v>
      </c>
      <c r="AH165" s="33">
        <f>IF(AQ165="0",BJ165,0)</f>
        <v>0</v>
      </c>
      <c r="AI165" s="28"/>
      <c r="AJ165" s="16">
        <f>IF(AN165=0,K165,0)</f>
        <v>0</v>
      </c>
      <c r="AK165" s="16">
        <f>IF(AN165=15,K165,0)</f>
        <v>0</v>
      </c>
      <c r="AL165" s="16">
        <f>IF(AN165=21,K165,0)</f>
        <v>0</v>
      </c>
      <c r="AN165" s="33">
        <v>21</v>
      </c>
      <c r="AO165" s="33">
        <f>H165*0.731756272401434</f>
        <v>0</v>
      </c>
      <c r="AP165" s="33">
        <f>H165*(1-0.731756272401434)</f>
        <v>0</v>
      </c>
      <c r="AQ165" s="27" t="s">
        <v>11</v>
      </c>
      <c r="AV165" s="33">
        <f>AW165+AX165</f>
        <v>0</v>
      </c>
      <c r="AW165" s="33">
        <f>G165*AO165</f>
        <v>0</v>
      </c>
      <c r="AX165" s="33">
        <f>G165*AP165</f>
        <v>0</v>
      </c>
      <c r="AY165" s="34" t="s">
        <v>958</v>
      </c>
      <c r="AZ165" s="34" t="s">
        <v>1001</v>
      </c>
      <c r="BA165" s="28" t="s">
        <v>1007</v>
      </c>
      <c r="BC165" s="33">
        <f>AW165+AX165</f>
        <v>0</v>
      </c>
      <c r="BD165" s="33">
        <f>H165/(100-BE165)*100</f>
        <v>0</v>
      </c>
      <c r="BE165" s="33">
        <v>0</v>
      </c>
      <c r="BF165" s="33">
        <f>169</f>
        <v>169</v>
      </c>
      <c r="BH165" s="16">
        <f>G165*AO165</f>
        <v>0</v>
      </c>
      <c r="BI165" s="16">
        <f>G165*AP165</f>
        <v>0</v>
      </c>
      <c r="BJ165" s="16">
        <f>G165*H165</f>
        <v>0</v>
      </c>
    </row>
    <row r="166" spans="1:47" ht="12.75">
      <c r="A166" s="5"/>
      <c r="B166" s="13" t="s">
        <v>415</v>
      </c>
      <c r="C166" s="109" t="s">
        <v>725</v>
      </c>
      <c r="D166" s="110"/>
      <c r="E166" s="110"/>
      <c r="F166" s="5" t="s">
        <v>6</v>
      </c>
      <c r="G166" s="5" t="s">
        <v>6</v>
      </c>
      <c r="H166" s="5" t="s">
        <v>6</v>
      </c>
      <c r="I166" s="36">
        <f>SUM(I167:I168)</f>
        <v>0</v>
      </c>
      <c r="J166" s="36">
        <f>SUM(J167:J168)</f>
        <v>0</v>
      </c>
      <c r="K166" s="36">
        <f>SUM(K167:K168)</f>
        <v>0</v>
      </c>
      <c r="L166" s="28"/>
      <c r="AI166" s="28"/>
      <c r="AS166" s="36">
        <f>SUM(AJ167:AJ168)</f>
        <v>0</v>
      </c>
      <c r="AT166" s="36">
        <f>SUM(AK167:AK168)</f>
        <v>0</v>
      </c>
      <c r="AU166" s="36">
        <f>SUM(AL167:AL168)</f>
        <v>0</v>
      </c>
    </row>
    <row r="167" spans="1:62" ht="12.75">
      <c r="A167" s="4" t="s">
        <v>138</v>
      </c>
      <c r="B167" s="4" t="s">
        <v>416</v>
      </c>
      <c r="C167" s="107" t="s">
        <v>726</v>
      </c>
      <c r="D167" s="108"/>
      <c r="E167" s="108"/>
      <c r="F167" s="4" t="s">
        <v>894</v>
      </c>
      <c r="G167" s="16">
        <v>4</v>
      </c>
      <c r="H167" s="16">
        <v>0</v>
      </c>
      <c r="I167" s="16">
        <f>G167*AO167</f>
        <v>0</v>
      </c>
      <c r="J167" s="16">
        <f>G167*AP167</f>
        <v>0</v>
      </c>
      <c r="K167" s="16">
        <f>G167*H167</f>
        <v>0</v>
      </c>
      <c r="L167" s="27" t="s">
        <v>922</v>
      </c>
      <c r="Z167" s="33">
        <f>IF(AQ167="5",BJ167,0)</f>
        <v>0</v>
      </c>
      <c r="AB167" s="33">
        <f>IF(AQ167="1",BH167,0)</f>
        <v>0</v>
      </c>
      <c r="AC167" s="33">
        <f>IF(AQ167="1",BI167,0)</f>
        <v>0</v>
      </c>
      <c r="AD167" s="33">
        <f>IF(AQ167="7",BH167,0)</f>
        <v>0</v>
      </c>
      <c r="AE167" s="33">
        <f>IF(AQ167="7",BI167,0)</f>
        <v>0</v>
      </c>
      <c r="AF167" s="33">
        <f>IF(AQ167="2",BH167,0)</f>
        <v>0</v>
      </c>
      <c r="AG167" s="33">
        <f>IF(AQ167="2",BI167,0)</f>
        <v>0</v>
      </c>
      <c r="AH167" s="33">
        <f>IF(AQ167="0",BJ167,0)</f>
        <v>0</v>
      </c>
      <c r="AI167" s="28"/>
      <c r="AJ167" s="16">
        <f>IF(AN167=0,K167,0)</f>
        <v>0</v>
      </c>
      <c r="AK167" s="16">
        <f>IF(AN167=15,K167,0)</f>
        <v>0</v>
      </c>
      <c r="AL167" s="16">
        <f>IF(AN167=21,K167,0)</f>
        <v>0</v>
      </c>
      <c r="AN167" s="33">
        <v>21</v>
      </c>
      <c r="AO167" s="33">
        <f>H167*0.104497257769653</f>
        <v>0</v>
      </c>
      <c r="AP167" s="33">
        <f>H167*(1-0.104497257769653)</f>
        <v>0</v>
      </c>
      <c r="AQ167" s="27" t="s">
        <v>11</v>
      </c>
      <c r="AV167" s="33">
        <f>AW167+AX167</f>
        <v>0</v>
      </c>
      <c r="AW167" s="33">
        <f>G167*AO167</f>
        <v>0</v>
      </c>
      <c r="AX167" s="33">
        <f>G167*AP167</f>
        <v>0</v>
      </c>
      <c r="AY167" s="34" t="s">
        <v>959</v>
      </c>
      <c r="AZ167" s="34" t="s">
        <v>1001</v>
      </c>
      <c r="BA167" s="28" t="s">
        <v>1007</v>
      </c>
      <c r="BC167" s="33">
        <f>AW167+AX167</f>
        <v>0</v>
      </c>
      <c r="BD167" s="33">
        <f>H167/(100-BE167)*100</f>
        <v>0</v>
      </c>
      <c r="BE167" s="33">
        <v>0</v>
      </c>
      <c r="BF167" s="33">
        <f>171</f>
        <v>171</v>
      </c>
      <c r="BH167" s="16">
        <f>G167*AO167</f>
        <v>0</v>
      </c>
      <c r="BI167" s="16">
        <f>G167*AP167</f>
        <v>0</v>
      </c>
      <c r="BJ167" s="16">
        <f>G167*H167</f>
        <v>0</v>
      </c>
    </row>
    <row r="168" spans="1:62" ht="12.75">
      <c r="A168" s="4" t="s">
        <v>139</v>
      </c>
      <c r="B168" s="4" t="s">
        <v>417</v>
      </c>
      <c r="C168" s="107" t="s">
        <v>1286</v>
      </c>
      <c r="D168" s="108"/>
      <c r="E168" s="108"/>
      <c r="F168" s="4" t="s">
        <v>896</v>
      </c>
      <c r="G168" s="16">
        <v>4</v>
      </c>
      <c r="H168" s="16">
        <v>0</v>
      </c>
      <c r="I168" s="16">
        <f>G168*AO168</f>
        <v>0</v>
      </c>
      <c r="J168" s="16">
        <f>G168*AP168</f>
        <v>0</v>
      </c>
      <c r="K168" s="16">
        <f>G168*H168</f>
        <v>0</v>
      </c>
      <c r="L168" s="27" t="s">
        <v>922</v>
      </c>
      <c r="Z168" s="33">
        <f>IF(AQ168="5",BJ168,0)</f>
        <v>0</v>
      </c>
      <c r="AB168" s="33">
        <f>IF(AQ168="1",BH168,0)</f>
        <v>0</v>
      </c>
      <c r="AC168" s="33">
        <f>IF(AQ168="1",BI168,0)</f>
        <v>0</v>
      </c>
      <c r="AD168" s="33">
        <f>IF(AQ168="7",BH168,0)</f>
        <v>0</v>
      </c>
      <c r="AE168" s="33">
        <f>IF(AQ168="7",BI168,0)</f>
        <v>0</v>
      </c>
      <c r="AF168" s="33">
        <f>IF(AQ168="2",BH168,0)</f>
        <v>0</v>
      </c>
      <c r="AG168" s="33">
        <f>IF(AQ168="2",BI168,0)</f>
        <v>0</v>
      </c>
      <c r="AH168" s="33">
        <f>IF(AQ168="0",BJ168,0)</f>
        <v>0</v>
      </c>
      <c r="AI168" s="28"/>
      <c r="AJ168" s="16">
        <f>IF(AN168=0,K168,0)</f>
        <v>0</v>
      </c>
      <c r="AK168" s="16">
        <f>IF(AN168=15,K168,0)</f>
        <v>0</v>
      </c>
      <c r="AL168" s="16">
        <f>IF(AN168=21,K168,0)</f>
        <v>0</v>
      </c>
      <c r="AN168" s="33">
        <v>21</v>
      </c>
      <c r="AO168" s="33">
        <f>H168*0.926003521126761</f>
        <v>0</v>
      </c>
      <c r="AP168" s="33">
        <f>H168*(1-0.926003521126761)</f>
        <v>0</v>
      </c>
      <c r="AQ168" s="27" t="s">
        <v>11</v>
      </c>
      <c r="AV168" s="33">
        <f>AW168+AX168</f>
        <v>0</v>
      </c>
      <c r="AW168" s="33">
        <f>G168*AO168</f>
        <v>0</v>
      </c>
      <c r="AX168" s="33">
        <f>G168*AP168</f>
        <v>0</v>
      </c>
      <c r="AY168" s="34" t="s">
        <v>959</v>
      </c>
      <c r="AZ168" s="34" t="s">
        <v>1001</v>
      </c>
      <c r="BA168" s="28" t="s">
        <v>1007</v>
      </c>
      <c r="BC168" s="33">
        <f>AW168+AX168</f>
        <v>0</v>
      </c>
      <c r="BD168" s="33">
        <f>H168/(100-BE168)*100</f>
        <v>0</v>
      </c>
      <c r="BE168" s="33">
        <v>0</v>
      </c>
      <c r="BF168" s="33">
        <f>172</f>
        <v>172</v>
      </c>
      <c r="BH168" s="16">
        <f>G168*AO168</f>
        <v>0</v>
      </c>
      <c r="BI168" s="16">
        <f>G168*AP168</f>
        <v>0</v>
      </c>
      <c r="BJ168" s="16">
        <f>G168*H168</f>
        <v>0</v>
      </c>
    </row>
    <row r="169" spans="1:47" ht="12.75">
      <c r="A169" s="5"/>
      <c r="B169" s="13" t="s">
        <v>418</v>
      </c>
      <c r="C169" s="109" t="s">
        <v>727</v>
      </c>
      <c r="D169" s="110"/>
      <c r="E169" s="110"/>
      <c r="F169" s="5" t="s">
        <v>6</v>
      </c>
      <c r="G169" s="5" t="s">
        <v>6</v>
      </c>
      <c r="H169" s="5" t="s">
        <v>6</v>
      </c>
      <c r="I169" s="36">
        <f>SUM(I170:I180)</f>
        <v>0</v>
      </c>
      <c r="J169" s="36">
        <f>SUM(J170:J180)</f>
        <v>0</v>
      </c>
      <c r="K169" s="36">
        <f>SUM(K170:K180)</f>
        <v>0</v>
      </c>
      <c r="L169" s="28"/>
      <c r="AI169" s="28"/>
      <c r="AS169" s="36">
        <f>SUM(AJ170:AJ180)</f>
        <v>0</v>
      </c>
      <c r="AT169" s="36">
        <f>SUM(AK170:AK180)</f>
        <v>0</v>
      </c>
      <c r="AU169" s="36">
        <f>SUM(AL170:AL180)</f>
        <v>0</v>
      </c>
    </row>
    <row r="170" spans="1:62" ht="12.75">
      <c r="A170" s="4" t="s">
        <v>140</v>
      </c>
      <c r="B170" s="4" t="s">
        <v>419</v>
      </c>
      <c r="C170" s="107" t="s">
        <v>728</v>
      </c>
      <c r="D170" s="108"/>
      <c r="E170" s="108"/>
      <c r="F170" s="4" t="s">
        <v>895</v>
      </c>
      <c r="G170" s="16">
        <v>109.67578</v>
      </c>
      <c r="H170" s="16">
        <v>0</v>
      </c>
      <c r="I170" s="16">
        <f aca="true" t="shared" si="154" ref="I170:I180">G170*AO170</f>
        <v>0</v>
      </c>
      <c r="J170" s="16">
        <f aca="true" t="shared" si="155" ref="J170:J180">G170*AP170</f>
        <v>0</v>
      </c>
      <c r="K170" s="16">
        <f aca="true" t="shared" si="156" ref="K170:K180">G170*H170</f>
        <v>0</v>
      </c>
      <c r="L170" s="27" t="s">
        <v>922</v>
      </c>
      <c r="Z170" s="33">
        <f aca="true" t="shared" si="157" ref="Z170:Z180">IF(AQ170="5",BJ170,0)</f>
        <v>0</v>
      </c>
      <c r="AB170" s="33">
        <f aca="true" t="shared" si="158" ref="AB170:AB180">IF(AQ170="1",BH170,0)</f>
        <v>0</v>
      </c>
      <c r="AC170" s="33">
        <f aca="true" t="shared" si="159" ref="AC170:AC180">IF(AQ170="1",BI170,0)</f>
        <v>0</v>
      </c>
      <c r="AD170" s="33">
        <f aca="true" t="shared" si="160" ref="AD170:AD180">IF(AQ170="7",BH170,0)</f>
        <v>0</v>
      </c>
      <c r="AE170" s="33">
        <f aca="true" t="shared" si="161" ref="AE170:AE180">IF(AQ170="7",BI170,0)</f>
        <v>0</v>
      </c>
      <c r="AF170" s="33">
        <f aca="true" t="shared" si="162" ref="AF170:AF180">IF(AQ170="2",BH170,0)</f>
        <v>0</v>
      </c>
      <c r="AG170" s="33">
        <f aca="true" t="shared" si="163" ref="AG170:AG180">IF(AQ170="2",BI170,0)</f>
        <v>0</v>
      </c>
      <c r="AH170" s="33">
        <f aca="true" t="shared" si="164" ref="AH170:AH180">IF(AQ170="0",BJ170,0)</f>
        <v>0</v>
      </c>
      <c r="AI170" s="28"/>
      <c r="AJ170" s="16">
        <f aca="true" t="shared" si="165" ref="AJ170:AJ180">IF(AN170=0,K170,0)</f>
        <v>0</v>
      </c>
      <c r="AK170" s="16">
        <f aca="true" t="shared" si="166" ref="AK170:AK180">IF(AN170=15,K170,0)</f>
        <v>0</v>
      </c>
      <c r="AL170" s="16">
        <f aca="true" t="shared" si="167" ref="AL170:AL180">IF(AN170=21,K170,0)</f>
        <v>0</v>
      </c>
      <c r="AN170" s="33">
        <v>21</v>
      </c>
      <c r="AO170" s="33">
        <f>H170*0</f>
        <v>0</v>
      </c>
      <c r="AP170" s="33">
        <f>H170*(1-0)</f>
        <v>0</v>
      </c>
      <c r="AQ170" s="27" t="s">
        <v>11</v>
      </c>
      <c r="AV170" s="33">
        <f aca="true" t="shared" si="168" ref="AV170:AV180">AW170+AX170</f>
        <v>0</v>
      </c>
      <c r="AW170" s="33">
        <f aca="true" t="shared" si="169" ref="AW170:AW180">G170*AO170</f>
        <v>0</v>
      </c>
      <c r="AX170" s="33">
        <f aca="true" t="shared" si="170" ref="AX170:AX180">G170*AP170</f>
        <v>0</v>
      </c>
      <c r="AY170" s="34" t="s">
        <v>960</v>
      </c>
      <c r="AZ170" s="34" t="s">
        <v>1002</v>
      </c>
      <c r="BA170" s="28" t="s">
        <v>1007</v>
      </c>
      <c r="BC170" s="33">
        <f aca="true" t="shared" si="171" ref="BC170:BC180">AW170+AX170</f>
        <v>0</v>
      </c>
      <c r="BD170" s="33">
        <f aca="true" t="shared" si="172" ref="BD170:BD180">H170/(100-BE170)*100</f>
        <v>0</v>
      </c>
      <c r="BE170" s="33">
        <v>0</v>
      </c>
      <c r="BF170" s="33">
        <f>174</f>
        <v>174</v>
      </c>
      <c r="BH170" s="16">
        <f aca="true" t="shared" si="173" ref="BH170:BH180">G170*AO170</f>
        <v>0</v>
      </c>
      <c r="BI170" s="16">
        <f aca="true" t="shared" si="174" ref="BI170:BI180">G170*AP170</f>
        <v>0</v>
      </c>
      <c r="BJ170" s="16">
        <f aca="true" t="shared" si="175" ref="BJ170:BJ180">G170*H170</f>
        <v>0</v>
      </c>
    </row>
    <row r="171" spans="1:62" ht="12.75">
      <c r="A171" s="4" t="s">
        <v>141</v>
      </c>
      <c r="B171" s="4" t="s">
        <v>419</v>
      </c>
      <c r="C171" s="107" t="s">
        <v>729</v>
      </c>
      <c r="D171" s="108"/>
      <c r="E171" s="108"/>
      <c r="F171" s="4" t="s">
        <v>895</v>
      </c>
      <c r="G171" s="16">
        <v>112</v>
      </c>
      <c r="H171" s="16">
        <v>0</v>
      </c>
      <c r="I171" s="16">
        <f t="shared" si="154"/>
        <v>0</v>
      </c>
      <c r="J171" s="16">
        <f t="shared" si="155"/>
        <v>0</v>
      </c>
      <c r="K171" s="16">
        <f t="shared" si="156"/>
        <v>0</v>
      </c>
      <c r="L171" s="27" t="s">
        <v>922</v>
      </c>
      <c r="Z171" s="33">
        <f t="shared" si="157"/>
        <v>0</v>
      </c>
      <c r="AB171" s="33">
        <f t="shared" si="158"/>
        <v>0</v>
      </c>
      <c r="AC171" s="33">
        <f t="shared" si="159"/>
        <v>0</v>
      </c>
      <c r="AD171" s="33">
        <f t="shared" si="160"/>
        <v>0</v>
      </c>
      <c r="AE171" s="33">
        <f t="shared" si="161"/>
        <v>0</v>
      </c>
      <c r="AF171" s="33">
        <f t="shared" si="162"/>
        <v>0</v>
      </c>
      <c r="AG171" s="33">
        <f t="shared" si="163"/>
        <v>0</v>
      </c>
      <c r="AH171" s="33">
        <f t="shared" si="164"/>
        <v>0</v>
      </c>
      <c r="AI171" s="28"/>
      <c r="AJ171" s="16">
        <f t="shared" si="165"/>
        <v>0</v>
      </c>
      <c r="AK171" s="16">
        <f t="shared" si="166"/>
        <v>0</v>
      </c>
      <c r="AL171" s="16">
        <f t="shared" si="167"/>
        <v>0</v>
      </c>
      <c r="AN171" s="33">
        <v>21</v>
      </c>
      <c r="AO171" s="33">
        <f>H171*0</f>
        <v>0</v>
      </c>
      <c r="AP171" s="33">
        <f>H171*(1-0)</f>
        <v>0</v>
      </c>
      <c r="AQ171" s="27" t="s">
        <v>11</v>
      </c>
      <c r="AV171" s="33">
        <f t="shared" si="168"/>
        <v>0</v>
      </c>
      <c r="AW171" s="33">
        <f t="shared" si="169"/>
        <v>0</v>
      </c>
      <c r="AX171" s="33">
        <f t="shared" si="170"/>
        <v>0</v>
      </c>
      <c r="AY171" s="34" t="s">
        <v>960</v>
      </c>
      <c r="AZ171" s="34" t="s">
        <v>1002</v>
      </c>
      <c r="BA171" s="28" t="s">
        <v>1007</v>
      </c>
      <c r="BC171" s="33">
        <f t="shared" si="171"/>
        <v>0</v>
      </c>
      <c r="BD171" s="33">
        <f t="shared" si="172"/>
        <v>0</v>
      </c>
      <c r="BE171" s="33">
        <v>0</v>
      </c>
      <c r="BF171" s="33">
        <f>175</f>
        <v>175</v>
      </c>
      <c r="BH171" s="16">
        <f t="shared" si="173"/>
        <v>0</v>
      </c>
      <c r="BI171" s="16">
        <f t="shared" si="174"/>
        <v>0</v>
      </c>
      <c r="BJ171" s="16">
        <f t="shared" si="175"/>
        <v>0</v>
      </c>
    </row>
    <row r="172" spans="1:62" ht="12.75">
      <c r="A172" s="4" t="s">
        <v>142</v>
      </c>
      <c r="B172" s="4" t="s">
        <v>420</v>
      </c>
      <c r="C172" s="107" t="s">
        <v>730</v>
      </c>
      <c r="D172" s="108"/>
      <c r="E172" s="108"/>
      <c r="F172" s="4" t="s">
        <v>895</v>
      </c>
      <c r="G172" s="16">
        <v>23.7175</v>
      </c>
      <c r="H172" s="16">
        <v>0</v>
      </c>
      <c r="I172" s="16">
        <f t="shared" si="154"/>
        <v>0</v>
      </c>
      <c r="J172" s="16">
        <f t="shared" si="155"/>
        <v>0</v>
      </c>
      <c r="K172" s="16">
        <f t="shared" si="156"/>
        <v>0</v>
      </c>
      <c r="L172" s="27" t="s">
        <v>922</v>
      </c>
      <c r="Z172" s="33">
        <f t="shared" si="157"/>
        <v>0</v>
      </c>
      <c r="AB172" s="33">
        <f t="shared" si="158"/>
        <v>0</v>
      </c>
      <c r="AC172" s="33">
        <f t="shared" si="159"/>
        <v>0</v>
      </c>
      <c r="AD172" s="33">
        <f t="shared" si="160"/>
        <v>0</v>
      </c>
      <c r="AE172" s="33">
        <f t="shared" si="161"/>
        <v>0</v>
      </c>
      <c r="AF172" s="33">
        <f t="shared" si="162"/>
        <v>0</v>
      </c>
      <c r="AG172" s="33">
        <f t="shared" si="163"/>
        <v>0</v>
      </c>
      <c r="AH172" s="33">
        <f t="shared" si="164"/>
        <v>0</v>
      </c>
      <c r="AI172" s="28"/>
      <c r="AJ172" s="16">
        <f t="shared" si="165"/>
        <v>0</v>
      </c>
      <c r="AK172" s="16">
        <f t="shared" si="166"/>
        <v>0</v>
      </c>
      <c r="AL172" s="16">
        <f t="shared" si="167"/>
        <v>0</v>
      </c>
      <c r="AN172" s="33">
        <v>21</v>
      </c>
      <c r="AO172" s="33">
        <f>H172*0</f>
        <v>0</v>
      </c>
      <c r="AP172" s="33">
        <f>H172*(1-0)</f>
        <v>0</v>
      </c>
      <c r="AQ172" s="27" t="s">
        <v>11</v>
      </c>
      <c r="AV172" s="33">
        <f t="shared" si="168"/>
        <v>0</v>
      </c>
      <c r="AW172" s="33">
        <f t="shared" si="169"/>
        <v>0</v>
      </c>
      <c r="AX172" s="33">
        <f t="shared" si="170"/>
        <v>0</v>
      </c>
      <c r="AY172" s="34" t="s">
        <v>960</v>
      </c>
      <c r="AZ172" s="34" t="s">
        <v>1002</v>
      </c>
      <c r="BA172" s="28" t="s">
        <v>1007</v>
      </c>
      <c r="BC172" s="33">
        <f t="shared" si="171"/>
        <v>0</v>
      </c>
      <c r="BD172" s="33">
        <f t="shared" si="172"/>
        <v>0</v>
      </c>
      <c r="BE172" s="33">
        <v>0</v>
      </c>
      <c r="BF172" s="33">
        <f>176</f>
        <v>176</v>
      </c>
      <c r="BH172" s="16">
        <f t="shared" si="173"/>
        <v>0</v>
      </c>
      <c r="BI172" s="16">
        <f t="shared" si="174"/>
        <v>0</v>
      </c>
      <c r="BJ172" s="16">
        <f t="shared" si="175"/>
        <v>0</v>
      </c>
    </row>
    <row r="173" spans="1:62" ht="12.75">
      <c r="A173" s="6" t="s">
        <v>143</v>
      </c>
      <c r="B173" s="6" t="s">
        <v>421</v>
      </c>
      <c r="C173" s="111" t="s">
        <v>731</v>
      </c>
      <c r="D173" s="112"/>
      <c r="E173" s="112"/>
      <c r="F173" s="6" t="s">
        <v>895</v>
      </c>
      <c r="G173" s="17">
        <v>123.2</v>
      </c>
      <c r="H173" s="17">
        <v>0</v>
      </c>
      <c r="I173" s="17">
        <f t="shared" si="154"/>
        <v>0</v>
      </c>
      <c r="J173" s="17">
        <f t="shared" si="155"/>
        <v>0</v>
      </c>
      <c r="K173" s="17">
        <f t="shared" si="156"/>
        <v>0</v>
      </c>
      <c r="L173" s="29" t="s">
        <v>922</v>
      </c>
      <c r="Z173" s="33">
        <f t="shared" si="157"/>
        <v>0</v>
      </c>
      <c r="AB173" s="33">
        <f t="shared" si="158"/>
        <v>0</v>
      </c>
      <c r="AC173" s="33">
        <f t="shared" si="159"/>
        <v>0</v>
      </c>
      <c r="AD173" s="33">
        <f t="shared" si="160"/>
        <v>0</v>
      </c>
      <c r="AE173" s="33">
        <f t="shared" si="161"/>
        <v>0</v>
      </c>
      <c r="AF173" s="33">
        <f t="shared" si="162"/>
        <v>0</v>
      </c>
      <c r="AG173" s="33">
        <f t="shared" si="163"/>
        <v>0</v>
      </c>
      <c r="AH173" s="33">
        <f t="shared" si="164"/>
        <v>0</v>
      </c>
      <c r="AI173" s="28"/>
      <c r="AJ173" s="17">
        <f t="shared" si="165"/>
        <v>0</v>
      </c>
      <c r="AK173" s="17">
        <f t="shared" si="166"/>
        <v>0</v>
      </c>
      <c r="AL173" s="17">
        <f t="shared" si="167"/>
        <v>0</v>
      </c>
      <c r="AN173" s="33">
        <v>21</v>
      </c>
      <c r="AO173" s="33">
        <f>H173*1</f>
        <v>0</v>
      </c>
      <c r="AP173" s="33">
        <f>H173*(1-1)</f>
        <v>0</v>
      </c>
      <c r="AQ173" s="29" t="s">
        <v>11</v>
      </c>
      <c r="AV173" s="33">
        <f t="shared" si="168"/>
        <v>0</v>
      </c>
      <c r="AW173" s="33">
        <f t="shared" si="169"/>
        <v>0</v>
      </c>
      <c r="AX173" s="33">
        <f t="shared" si="170"/>
        <v>0</v>
      </c>
      <c r="AY173" s="34" t="s">
        <v>960</v>
      </c>
      <c r="AZ173" s="34" t="s">
        <v>1002</v>
      </c>
      <c r="BA173" s="28" t="s">
        <v>1007</v>
      </c>
      <c r="BC173" s="33">
        <f t="shared" si="171"/>
        <v>0</v>
      </c>
      <c r="BD173" s="33">
        <f t="shared" si="172"/>
        <v>0</v>
      </c>
      <c r="BE173" s="33">
        <v>0</v>
      </c>
      <c r="BF173" s="33">
        <f>177</f>
        <v>177</v>
      </c>
      <c r="BH173" s="17">
        <f t="shared" si="173"/>
        <v>0</v>
      </c>
      <c r="BI173" s="17">
        <f t="shared" si="174"/>
        <v>0</v>
      </c>
      <c r="BJ173" s="17">
        <f t="shared" si="175"/>
        <v>0</v>
      </c>
    </row>
    <row r="174" spans="1:62" ht="12.75">
      <c r="A174" s="6" t="s">
        <v>144</v>
      </c>
      <c r="B174" s="6" t="s">
        <v>422</v>
      </c>
      <c r="C174" s="111" t="s">
        <v>732</v>
      </c>
      <c r="D174" s="112"/>
      <c r="E174" s="112"/>
      <c r="F174" s="6" t="s">
        <v>895</v>
      </c>
      <c r="G174" s="17">
        <v>26.07</v>
      </c>
      <c r="H174" s="17">
        <v>0</v>
      </c>
      <c r="I174" s="17">
        <f t="shared" si="154"/>
        <v>0</v>
      </c>
      <c r="J174" s="17">
        <f t="shared" si="155"/>
        <v>0</v>
      </c>
      <c r="K174" s="17">
        <f t="shared" si="156"/>
        <v>0</v>
      </c>
      <c r="L174" s="29" t="s">
        <v>922</v>
      </c>
      <c r="Z174" s="33">
        <f t="shared" si="157"/>
        <v>0</v>
      </c>
      <c r="AB174" s="33">
        <f t="shared" si="158"/>
        <v>0</v>
      </c>
      <c r="AC174" s="33">
        <f t="shared" si="159"/>
        <v>0</v>
      </c>
      <c r="AD174" s="33">
        <f t="shared" si="160"/>
        <v>0</v>
      </c>
      <c r="AE174" s="33">
        <f t="shared" si="161"/>
        <v>0</v>
      </c>
      <c r="AF174" s="33">
        <f t="shared" si="162"/>
        <v>0</v>
      </c>
      <c r="AG174" s="33">
        <f t="shared" si="163"/>
        <v>0</v>
      </c>
      <c r="AH174" s="33">
        <f t="shared" si="164"/>
        <v>0</v>
      </c>
      <c r="AI174" s="28"/>
      <c r="AJ174" s="17">
        <f t="shared" si="165"/>
        <v>0</v>
      </c>
      <c r="AK174" s="17">
        <f t="shared" si="166"/>
        <v>0</v>
      </c>
      <c r="AL174" s="17">
        <f t="shared" si="167"/>
        <v>0</v>
      </c>
      <c r="AN174" s="33">
        <v>21</v>
      </c>
      <c r="AO174" s="33">
        <f>H174*1</f>
        <v>0</v>
      </c>
      <c r="AP174" s="33">
        <f>H174*(1-1)</f>
        <v>0</v>
      </c>
      <c r="AQ174" s="29" t="s">
        <v>11</v>
      </c>
      <c r="AV174" s="33">
        <f t="shared" si="168"/>
        <v>0</v>
      </c>
      <c r="AW174" s="33">
        <f t="shared" si="169"/>
        <v>0</v>
      </c>
      <c r="AX174" s="33">
        <f t="shared" si="170"/>
        <v>0</v>
      </c>
      <c r="AY174" s="34" t="s">
        <v>960</v>
      </c>
      <c r="AZ174" s="34" t="s">
        <v>1002</v>
      </c>
      <c r="BA174" s="28" t="s">
        <v>1007</v>
      </c>
      <c r="BC174" s="33">
        <f t="shared" si="171"/>
        <v>0</v>
      </c>
      <c r="BD174" s="33">
        <f t="shared" si="172"/>
        <v>0</v>
      </c>
      <c r="BE174" s="33">
        <v>0</v>
      </c>
      <c r="BF174" s="33">
        <f>178</f>
        <v>178</v>
      </c>
      <c r="BH174" s="17">
        <f t="shared" si="173"/>
        <v>0</v>
      </c>
      <c r="BI174" s="17">
        <f t="shared" si="174"/>
        <v>0</v>
      </c>
      <c r="BJ174" s="17">
        <f t="shared" si="175"/>
        <v>0</v>
      </c>
    </row>
    <row r="175" spans="1:62" ht="12.75">
      <c r="A175" s="4" t="s">
        <v>145</v>
      </c>
      <c r="B175" s="4" t="s">
        <v>423</v>
      </c>
      <c r="C175" s="107" t="s">
        <v>733</v>
      </c>
      <c r="D175" s="108"/>
      <c r="E175" s="108"/>
      <c r="F175" s="4" t="s">
        <v>899</v>
      </c>
      <c r="G175" s="16">
        <v>18</v>
      </c>
      <c r="H175" s="16">
        <v>0</v>
      </c>
      <c r="I175" s="16">
        <f t="shared" si="154"/>
        <v>0</v>
      </c>
      <c r="J175" s="16">
        <f t="shared" si="155"/>
        <v>0</v>
      </c>
      <c r="K175" s="16">
        <f t="shared" si="156"/>
        <v>0</v>
      </c>
      <c r="L175" s="27" t="s">
        <v>922</v>
      </c>
      <c r="Z175" s="33">
        <f t="shared" si="157"/>
        <v>0</v>
      </c>
      <c r="AB175" s="33">
        <f t="shared" si="158"/>
        <v>0</v>
      </c>
      <c r="AC175" s="33">
        <f t="shared" si="159"/>
        <v>0</v>
      </c>
      <c r="AD175" s="33">
        <f t="shared" si="160"/>
        <v>0</v>
      </c>
      <c r="AE175" s="33">
        <f t="shared" si="161"/>
        <v>0</v>
      </c>
      <c r="AF175" s="33">
        <f t="shared" si="162"/>
        <v>0</v>
      </c>
      <c r="AG175" s="33">
        <f t="shared" si="163"/>
        <v>0</v>
      </c>
      <c r="AH175" s="33">
        <f t="shared" si="164"/>
        <v>0</v>
      </c>
      <c r="AI175" s="28"/>
      <c r="AJ175" s="16">
        <f t="shared" si="165"/>
        <v>0</v>
      </c>
      <c r="AK175" s="16">
        <f t="shared" si="166"/>
        <v>0</v>
      </c>
      <c r="AL175" s="16">
        <f t="shared" si="167"/>
        <v>0</v>
      </c>
      <c r="AN175" s="33">
        <v>21</v>
      </c>
      <c r="AO175" s="33">
        <f>H175*0.344516129032258</f>
        <v>0</v>
      </c>
      <c r="AP175" s="33">
        <f>H175*(1-0.344516129032258)</f>
        <v>0</v>
      </c>
      <c r="AQ175" s="27" t="s">
        <v>11</v>
      </c>
      <c r="AV175" s="33">
        <f t="shared" si="168"/>
        <v>0</v>
      </c>
      <c r="AW175" s="33">
        <f t="shared" si="169"/>
        <v>0</v>
      </c>
      <c r="AX175" s="33">
        <f t="shared" si="170"/>
        <v>0</v>
      </c>
      <c r="AY175" s="34" t="s">
        <v>960</v>
      </c>
      <c r="AZ175" s="34" t="s">
        <v>1002</v>
      </c>
      <c r="BA175" s="28" t="s">
        <v>1007</v>
      </c>
      <c r="BC175" s="33">
        <f t="shared" si="171"/>
        <v>0</v>
      </c>
      <c r="BD175" s="33">
        <f t="shared" si="172"/>
        <v>0</v>
      </c>
      <c r="BE175" s="33">
        <v>0</v>
      </c>
      <c r="BF175" s="33">
        <f>179</f>
        <v>179</v>
      </c>
      <c r="BH175" s="16">
        <f t="shared" si="173"/>
        <v>0</v>
      </c>
      <c r="BI175" s="16">
        <f t="shared" si="174"/>
        <v>0</v>
      </c>
      <c r="BJ175" s="16">
        <f t="shared" si="175"/>
        <v>0</v>
      </c>
    </row>
    <row r="176" spans="1:62" ht="12.75">
      <c r="A176" s="6" t="s">
        <v>146</v>
      </c>
      <c r="B176" s="6" t="s">
        <v>424</v>
      </c>
      <c r="C176" s="111" t="s">
        <v>734</v>
      </c>
      <c r="D176" s="112"/>
      <c r="E176" s="112"/>
      <c r="F176" s="6" t="s">
        <v>895</v>
      </c>
      <c r="G176" s="17">
        <v>119.9</v>
      </c>
      <c r="H176" s="17">
        <v>0</v>
      </c>
      <c r="I176" s="17">
        <f t="shared" si="154"/>
        <v>0</v>
      </c>
      <c r="J176" s="17">
        <f t="shared" si="155"/>
        <v>0</v>
      </c>
      <c r="K176" s="17">
        <f t="shared" si="156"/>
        <v>0</v>
      </c>
      <c r="L176" s="29" t="s">
        <v>922</v>
      </c>
      <c r="Z176" s="33">
        <f t="shared" si="157"/>
        <v>0</v>
      </c>
      <c r="AB176" s="33">
        <f t="shared" si="158"/>
        <v>0</v>
      </c>
      <c r="AC176" s="33">
        <f t="shared" si="159"/>
        <v>0</v>
      </c>
      <c r="AD176" s="33">
        <f t="shared" si="160"/>
        <v>0</v>
      </c>
      <c r="AE176" s="33">
        <f t="shared" si="161"/>
        <v>0</v>
      </c>
      <c r="AF176" s="33">
        <f t="shared" si="162"/>
        <v>0</v>
      </c>
      <c r="AG176" s="33">
        <f t="shared" si="163"/>
        <v>0</v>
      </c>
      <c r="AH176" s="33">
        <f t="shared" si="164"/>
        <v>0</v>
      </c>
      <c r="AI176" s="28"/>
      <c r="AJ176" s="17">
        <f t="shared" si="165"/>
        <v>0</v>
      </c>
      <c r="AK176" s="17">
        <f t="shared" si="166"/>
        <v>0</v>
      </c>
      <c r="AL176" s="17">
        <f t="shared" si="167"/>
        <v>0</v>
      </c>
      <c r="AN176" s="33">
        <v>21</v>
      </c>
      <c r="AO176" s="33">
        <f>H176*1</f>
        <v>0</v>
      </c>
      <c r="AP176" s="33">
        <f>H176*(1-1)</f>
        <v>0</v>
      </c>
      <c r="AQ176" s="29" t="s">
        <v>11</v>
      </c>
      <c r="AV176" s="33">
        <f t="shared" si="168"/>
        <v>0</v>
      </c>
      <c r="AW176" s="33">
        <f t="shared" si="169"/>
        <v>0</v>
      </c>
      <c r="AX176" s="33">
        <f t="shared" si="170"/>
        <v>0</v>
      </c>
      <c r="AY176" s="34" t="s">
        <v>960</v>
      </c>
      <c r="AZ176" s="34" t="s">
        <v>1002</v>
      </c>
      <c r="BA176" s="28" t="s">
        <v>1007</v>
      </c>
      <c r="BC176" s="33">
        <f t="shared" si="171"/>
        <v>0</v>
      </c>
      <c r="BD176" s="33">
        <f t="shared" si="172"/>
        <v>0</v>
      </c>
      <c r="BE176" s="33">
        <v>0</v>
      </c>
      <c r="BF176" s="33">
        <f>180</f>
        <v>180</v>
      </c>
      <c r="BH176" s="17">
        <f t="shared" si="173"/>
        <v>0</v>
      </c>
      <c r="BI176" s="17">
        <f t="shared" si="174"/>
        <v>0</v>
      </c>
      <c r="BJ176" s="17">
        <f t="shared" si="175"/>
        <v>0</v>
      </c>
    </row>
    <row r="177" spans="1:62" ht="12.75">
      <c r="A177" s="4" t="s">
        <v>147</v>
      </c>
      <c r="B177" s="4" t="s">
        <v>420</v>
      </c>
      <c r="C177" s="107" t="s">
        <v>730</v>
      </c>
      <c r="D177" s="108"/>
      <c r="E177" s="108"/>
      <c r="F177" s="4" t="s">
        <v>895</v>
      </c>
      <c r="G177" s="16">
        <v>25.11124</v>
      </c>
      <c r="H177" s="16">
        <v>0</v>
      </c>
      <c r="I177" s="16">
        <f t="shared" si="154"/>
        <v>0</v>
      </c>
      <c r="J177" s="16">
        <f t="shared" si="155"/>
        <v>0</v>
      </c>
      <c r="K177" s="16">
        <f t="shared" si="156"/>
        <v>0</v>
      </c>
      <c r="L177" s="27" t="s">
        <v>922</v>
      </c>
      <c r="Z177" s="33">
        <f t="shared" si="157"/>
        <v>0</v>
      </c>
      <c r="AB177" s="33">
        <f t="shared" si="158"/>
        <v>0</v>
      </c>
      <c r="AC177" s="33">
        <f t="shared" si="159"/>
        <v>0</v>
      </c>
      <c r="AD177" s="33">
        <f t="shared" si="160"/>
        <v>0</v>
      </c>
      <c r="AE177" s="33">
        <f t="shared" si="161"/>
        <v>0</v>
      </c>
      <c r="AF177" s="33">
        <f t="shared" si="162"/>
        <v>0</v>
      </c>
      <c r="AG177" s="33">
        <f t="shared" si="163"/>
        <v>0</v>
      </c>
      <c r="AH177" s="33">
        <f t="shared" si="164"/>
        <v>0</v>
      </c>
      <c r="AI177" s="28"/>
      <c r="AJ177" s="16">
        <f t="shared" si="165"/>
        <v>0</v>
      </c>
      <c r="AK177" s="16">
        <f t="shared" si="166"/>
        <v>0</v>
      </c>
      <c r="AL177" s="16">
        <f t="shared" si="167"/>
        <v>0</v>
      </c>
      <c r="AN177" s="33">
        <v>21</v>
      </c>
      <c r="AO177" s="33">
        <f>H177*0</f>
        <v>0</v>
      </c>
      <c r="AP177" s="33">
        <f>H177*(1-0)</f>
        <v>0</v>
      </c>
      <c r="AQ177" s="27" t="s">
        <v>11</v>
      </c>
      <c r="AV177" s="33">
        <f t="shared" si="168"/>
        <v>0</v>
      </c>
      <c r="AW177" s="33">
        <f t="shared" si="169"/>
        <v>0</v>
      </c>
      <c r="AX177" s="33">
        <f t="shared" si="170"/>
        <v>0</v>
      </c>
      <c r="AY177" s="34" t="s">
        <v>960</v>
      </c>
      <c r="AZ177" s="34" t="s">
        <v>1002</v>
      </c>
      <c r="BA177" s="28" t="s">
        <v>1007</v>
      </c>
      <c r="BC177" s="33">
        <f t="shared" si="171"/>
        <v>0</v>
      </c>
      <c r="BD177" s="33">
        <f t="shared" si="172"/>
        <v>0</v>
      </c>
      <c r="BE177" s="33">
        <v>0</v>
      </c>
      <c r="BF177" s="33">
        <f>181</f>
        <v>181</v>
      </c>
      <c r="BH177" s="16">
        <f t="shared" si="173"/>
        <v>0</v>
      </c>
      <c r="BI177" s="16">
        <f t="shared" si="174"/>
        <v>0</v>
      </c>
      <c r="BJ177" s="16">
        <f t="shared" si="175"/>
        <v>0</v>
      </c>
    </row>
    <row r="178" spans="1:62" ht="12.75">
      <c r="A178" s="4" t="s">
        <v>148</v>
      </c>
      <c r="B178" s="4" t="s">
        <v>423</v>
      </c>
      <c r="C178" s="107" t="s">
        <v>733</v>
      </c>
      <c r="D178" s="108"/>
      <c r="E178" s="108"/>
      <c r="F178" s="4" t="s">
        <v>899</v>
      </c>
      <c r="G178" s="16">
        <v>18.01</v>
      </c>
      <c r="H178" s="16">
        <v>0</v>
      </c>
      <c r="I178" s="16">
        <f t="shared" si="154"/>
        <v>0</v>
      </c>
      <c r="J178" s="16">
        <f t="shared" si="155"/>
        <v>0</v>
      </c>
      <c r="K178" s="16">
        <f t="shared" si="156"/>
        <v>0</v>
      </c>
      <c r="L178" s="27" t="s">
        <v>922</v>
      </c>
      <c r="Z178" s="33">
        <f t="shared" si="157"/>
        <v>0</v>
      </c>
      <c r="AB178" s="33">
        <f t="shared" si="158"/>
        <v>0</v>
      </c>
      <c r="AC178" s="33">
        <f t="shared" si="159"/>
        <v>0</v>
      </c>
      <c r="AD178" s="33">
        <f t="shared" si="160"/>
        <v>0</v>
      </c>
      <c r="AE178" s="33">
        <f t="shared" si="161"/>
        <v>0</v>
      </c>
      <c r="AF178" s="33">
        <f t="shared" si="162"/>
        <v>0</v>
      </c>
      <c r="AG178" s="33">
        <f t="shared" si="163"/>
        <v>0</v>
      </c>
      <c r="AH178" s="33">
        <f t="shared" si="164"/>
        <v>0</v>
      </c>
      <c r="AI178" s="28"/>
      <c r="AJ178" s="16">
        <f t="shared" si="165"/>
        <v>0</v>
      </c>
      <c r="AK178" s="16">
        <f t="shared" si="166"/>
        <v>0</v>
      </c>
      <c r="AL178" s="16">
        <f t="shared" si="167"/>
        <v>0</v>
      </c>
      <c r="AN178" s="33">
        <v>21</v>
      </c>
      <c r="AO178" s="33">
        <f>H178*0.344516129032258</f>
        <v>0</v>
      </c>
      <c r="AP178" s="33">
        <f>H178*(1-0.344516129032258)</f>
        <v>0</v>
      </c>
      <c r="AQ178" s="27" t="s">
        <v>11</v>
      </c>
      <c r="AV178" s="33">
        <f t="shared" si="168"/>
        <v>0</v>
      </c>
      <c r="AW178" s="33">
        <f t="shared" si="169"/>
        <v>0</v>
      </c>
      <c r="AX178" s="33">
        <f t="shared" si="170"/>
        <v>0</v>
      </c>
      <c r="AY178" s="34" t="s">
        <v>960</v>
      </c>
      <c r="AZ178" s="34" t="s">
        <v>1002</v>
      </c>
      <c r="BA178" s="28" t="s">
        <v>1007</v>
      </c>
      <c r="BC178" s="33">
        <f t="shared" si="171"/>
        <v>0</v>
      </c>
      <c r="BD178" s="33">
        <f t="shared" si="172"/>
        <v>0</v>
      </c>
      <c r="BE178" s="33">
        <v>0</v>
      </c>
      <c r="BF178" s="33">
        <f>182</f>
        <v>182</v>
      </c>
      <c r="BH178" s="16">
        <f t="shared" si="173"/>
        <v>0</v>
      </c>
      <c r="BI178" s="16">
        <f t="shared" si="174"/>
        <v>0</v>
      </c>
      <c r="BJ178" s="16">
        <f t="shared" si="175"/>
        <v>0</v>
      </c>
    </row>
    <row r="179" spans="1:62" ht="12.75">
      <c r="A179" s="4" t="s">
        <v>149</v>
      </c>
      <c r="B179" s="4" t="s">
        <v>425</v>
      </c>
      <c r="C179" s="107" t="s">
        <v>735</v>
      </c>
      <c r="D179" s="108"/>
      <c r="E179" s="108"/>
      <c r="F179" s="4" t="s">
        <v>895</v>
      </c>
      <c r="G179" s="16">
        <v>84</v>
      </c>
      <c r="H179" s="16">
        <v>0</v>
      </c>
      <c r="I179" s="16">
        <f t="shared" si="154"/>
        <v>0</v>
      </c>
      <c r="J179" s="16">
        <f t="shared" si="155"/>
        <v>0</v>
      </c>
      <c r="K179" s="16">
        <f t="shared" si="156"/>
        <v>0</v>
      </c>
      <c r="L179" s="27" t="s">
        <v>922</v>
      </c>
      <c r="Z179" s="33">
        <f t="shared" si="157"/>
        <v>0</v>
      </c>
      <c r="AB179" s="33">
        <f t="shared" si="158"/>
        <v>0</v>
      </c>
      <c r="AC179" s="33">
        <f t="shared" si="159"/>
        <v>0</v>
      </c>
      <c r="AD179" s="33">
        <f t="shared" si="160"/>
        <v>0</v>
      </c>
      <c r="AE179" s="33">
        <f t="shared" si="161"/>
        <v>0</v>
      </c>
      <c r="AF179" s="33">
        <f t="shared" si="162"/>
        <v>0</v>
      </c>
      <c r="AG179" s="33">
        <f t="shared" si="163"/>
        <v>0</v>
      </c>
      <c r="AH179" s="33">
        <f t="shared" si="164"/>
        <v>0</v>
      </c>
      <c r="AI179" s="28"/>
      <c r="AJ179" s="16">
        <f t="shared" si="165"/>
        <v>0</v>
      </c>
      <c r="AK179" s="16">
        <f t="shared" si="166"/>
        <v>0</v>
      </c>
      <c r="AL179" s="16">
        <f t="shared" si="167"/>
        <v>0</v>
      </c>
      <c r="AN179" s="33">
        <v>21</v>
      </c>
      <c r="AO179" s="33">
        <f>H179*0</f>
        <v>0</v>
      </c>
      <c r="AP179" s="33">
        <f>H179*(1-0)</f>
        <v>0</v>
      </c>
      <c r="AQ179" s="27" t="s">
        <v>11</v>
      </c>
      <c r="AV179" s="33">
        <f t="shared" si="168"/>
        <v>0</v>
      </c>
      <c r="AW179" s="33">
        <f t="shared" si="169"/>
        <v>0</v>
      </c>
      <c r="AX179" s="33">
        <f t="shared" si="170"/>
        <v>0</v>
      </c>
      <c r="AY179" s="34" t="s">
        <v>960</v>
      </c>
      <c r="AZ179" s="34" t="s">
        <v>1002</v>
      </c>
      <c r="BA179" s="28" t="s">
        <v>1007</v>
      </c>
      <c r="BC179" s="33">
        <f t="shared" si="171"/>
        <v>0</v>
      </c>
      <c r="BD179" s="33">
        <f t="shared" si="172"/>
        <v>0</v>
      </c>
      <c r="BE179" s="33">
        <v>0</v>
      </c>
      <c r="BF179" s="33">
        <f>183</f>
        <v>183</v>
      </c>
      <c r="BH179" s="16">
        <f t="shared" si="173"/>
        <v>0</v>
      </c>
      <c r="BI179" s="16">
        <f t="shared" si="174"/>
        <v>0</v>
      </c>
      <c r="BJ179" s="16">
        <f t="shared" si="175"/>
        <v>0</v>
      </c>
    </row>
    <row r="180" spans="1:62" ht="12.75">
      <c r="A180" s="6" t="s">
        <v>150</v>
      </c>
      <c r="B180" s="6" t="s">
        <v>426</v>
      </c>
      <c r="C180" s="111" t="s">
        <v>736</v>
      </c>
      <c r="D180" s="112"/>
      <c r="E180" s="112"/>
      <c r="F180" s="6" t="s">
        <v>895</v>
      </c>
      <c r="G180" s="17">
        <v>85.365</v>
      </c>
      <c r="H180" s="17">
        <v>0</v>
      </c>
      <c r="I180" s="17">
        <f t="shared" si="154"/>
        <v>0</v>
      </c>
      <c r="J180" s="17">
        <f t="shared" si="155"/>
        <v>0</v>
      </c>
      <c r="K180" s="17">
        <f t="shared" si="156"/>
        <v>0</v>
      </c>
      <c r="L180" s="29" t="s">
        <v>922</v>
      </c>
      <c r="Z180" s="33">
        <f t="shared" si="157"/>
        <v>0</v>
      </c>
      <c r="AB180" s="33">
        <f t="shared" si="158"/>
        <v>0</v>
      </c>
      <c r="AC180" s="33">
        <f t="shared" si="159"/>
        <v>0</v>
      </c>
      <c r="AD180" s="33">
        <f t="shared" si="160"/>
        <v>0</v>
      </c>
      <c r="AE180" s="33">
        <f t="shared" si="161"/>
        <v>0</v>
      </c>
      <c r="AF180" s="33">
        <f t="shared" si="162"/>
        <v>0</v>
      </c>
      <c r="AG180" s="33">
        <f t="shared" si="163"/>
        <v>0</v>
      </c>
      <c r="AH180" s="33">
        <f t="shared" si="164"/>
        <v>0</v>
      </c>
      <c r="AI180" s="28"/>
      <c r="AJ180" s="17">
        <f t="shared" si="165"/>
        <v>0</v>
      </c>
      <c r="AK180" s="17">
        <f t="shared" si="166"/>
        <v>0</v>
      </c>
      <c r="AL180" s="17">
        <f t="shared" si="167"/>
        <v>0</v>
      </c>
      <c r="AN180" s="33">
        <v>21</v>
      </c>
      <c r="AO180" s="33">
        <f>H180*1</f>
        <v>0</v>
      </c>
      <c r="AP180" s="33">
        <f>H180*(1-1)</f>
        <v>0</v>
      </c>
      <c r="AQ180" s="29" t="s">
        <v>11</v>
      </c>
      <c r="AV180" s="33">
        <f t="shared" si="168"/>
        <v>0</v>
      </c>
      <c r="AW180" s="33">
        <f t="shared" si="169"/>
        <v>0</v>
      </c>
      <c r="AX180" s="33">
        <f t="shared" si="170"/>
        <v>0</v>
      </c>
      <c r="AY180" s="34" t="s">
        <v>960</v>
      </c>
      <c r="AZ180" s="34" t="s">
        <v>1002</v>
      </c>
      <c r="BA180" s="28" t="s">
        <v>1007</v>
      </c>
      <c r="BC180" s="33">
        <f t="shared" si="171"/>
        <v>0</v>
      </c>
      <c r="BD180" s="33">
        <f t="shared" si="172"/>
        <v>0</v>
      </c>
      <c r="BE180" s="33">
        <v>0</v>
      </c>
      <c r="BF180" s="33">
        <f>184</f>
        <v>184</v>
      </c>
      <c r="BH180" s="17">
        <f t="shared" si="173"/>
        <v>0</v>
      </c>
      <c r="BI180" s="17">
        <f t="shared" si="174"/>
        <v>0</v>
      </c>
      <c r="BJ180" s="17">
        <f t="shared" si="175"/>
        <v>0</v>
      </c>
    </row>
    <row r="181" spans="1:47" ht="12.75">
      <c r="A181" s="5"/>
      <c r="B181" s="13" t="s">
        <v>427</v>
      </c>
      <c r="C181" s="109" t="s">
        <v>737</v>
      </c>
      <c r="D181" s="110"/>
      <c r="E181" s="110"/>
      <c r="F181" s="5" t="s">
        <v>6</v>
      </c>
      <c r="G181" s="5" t="s">
        <v>6</v>
      </c>
      <c r="H181" s="5" t="s">
        <v>6</v>
      </c>
      <c r="I181" s="36">
        <f>SUM(I182:I184)</f>
        <v>0</v>
      </c>
      <c r="J181" s="36">
        <f>SUM(J182:J184)</f>
        <v>0</v>
      </c>
      <c r="K181" s="36">
        <f>SUM(K182:K184)</f>
        <v>0</v>
      </c>
      <c r="L181" s="28"/>
      <c r="AI181" s="28"/>
      <c r="AS181" s="36">
        <f>SUM(AJ182:AJ184)</f>
        <v>0</v>
      </c>
      <c r="AT181" s="36">
        <f>SUM(AK182:AK184)</f>
        <v>0</v>
      </c>
      <c r="AU181" s="36">
        <f>SUM(AL182:AL184)</f>
        <v>0</v>
      </c>
    </row>
    <row r="182" spans="1:62" ht="12.75">
      <c r="A182" s="4" t="s">
        <v>151</v>
      </c>
      <c r="B182" s="4" t="s">
        <v>428</v>
      </c>
      <c r="C182" s="107" t="s">
        <v>738</v>
      </c>
      <c r="D182" s="108"/>
      <c r="E182" s="108"/>
      <c r="F182" s="4" t="s">
        <v>899</v>
      </c>
      <c r="G182" s="16">
        <v>120.705</v>
      </c>
      <c r="H182" s="16">
        <v>0</v>
      </c>
      <c r="I182" s="16">
        <f>G182*AO182</f>
        <v>0</v>
      </c>
      <c r="J182" s="16">
        <f>G182*AP182</f>
        <v>0</v>
      </c>
      <c r="K182" s="16">
        <f>G182*H182</f>
        <v>0</v>
      </c>
      <c r="L182" s="27" t="s">
        <v>922</v>
      </c>
      <c r="Z182" s="33">
        <f>IF(AQ182="5",BJ182,0)</f>
        <v>0</v>
      </c>
      <c r="AB182" s="33">
        <f>IF(AQ182="1",BH182,0)</f>
        <v>0</v>
      </c>
      <c r="AC182" s="33">
        <f>IF(AQ182="1",BI182,0)</f>
        <v>0</v>
      </c>
      <c r="AD182" s="33">
        <f>IF(AQ182="7",BH182,0)</f>
        <v>0</v>
      </c>
      <c r="AE182" s="33">
        <f>IF(AQ182="7",BI182,0)</f>
        <v>0</v>
      </c>
      <c r="AF182" s="33">
        <f>IF(AQ182="2",BH182,0)</f>
        <v>0</v>
      </c>
      <c r="AG182" s="33">
        <f>IF(AQ182="2",BI182,0)</f>
        <v>0</v>
      </c>
      <c r="AH182" s="33">
        <f>IF(AQ182="0",BJ182,0)</f>
        <v>0</v>
      </c>
      <c r="AI182" s="28"/>
      <c r="AJ182" s="16">
        <f>IF(AN182=0,K182,0)</f>
        <v>0</v>
      </c>
      <c r="AK182" s="16">
        <f>IF(AN182=15,K182,0)</f>
        <v>0</v>
      </c>
      <c r="AL182" s="16">
        <f>IF(AN182=21,K182,0)</f>
        <v>0</v>
      </c>
      <c r="AN182" s="33">
        <v>21</v>
      </c>
      <c r="AO182" s="33">
        <f>H182*0</f>
        <v>0</v>
      </c>
      <c r="AP182" s="33">
        <f>H182*(1-0)</f>
        <v>0</v>
      </c>
      <c r="AQ182" s="27" t="s">
        <v>11</v>
      </c>
      <c r="AV182" s="33">
        <f>AW182+AX182</f>
        <v>0</v>
      </c>
      <c r="AW182" s="33">
        <f>G182*AO182</f>
        <v>0</v>
      </c>
      <c r="AX182" s="33">
        <f>G182*AP182</f>
        <v>0</v>
      </c>
      <c r="AY182" s="34" t="s">
        <v>961</v>
      </c>
      <c r="AZ182" s="34" t="s">
        <v>1002</v>
      </c>
      <c r="BA182" s="28" t="s">
        <v>1007</v>
      </c>
      <c r="BC182" s="33">
        <f>AW182+AX182</f>
        <v>0</v>
      </c>
      <c r="BD182" s="33">
        <f>H182/(100-BE182)*100</f>
        <v>0</v>
      </c>
      <c r="BE182" s="33">
        <v>0</v>
      </c>
      <c r="BF182" s="33">
        <f>186</f>
        <v>186</v>
      </c>
      <c r="BH182" s="16">
        <f>G182*AO182</f>
        <v>0</v>
      </c>
      <c r="BI182" s="16">
        <f>G182*AP182</f>
        <v>0</v>
      </c>
      <c r="BJ182" s="16">
        <f>G182*H182</f>
        <v>0</v>
      </c>
    </row>
    <row r="183" spans="1:62" ht="12.75">
      <c r="A183" s="6" t="s">
        <v>152</v>
      </c>
      <c r="B183" s="6" t="s">
        <v>429</v>
      </c>
      <c r="C183" s="111" t="s">
        <v>739</v>
      </c>
      <c r="D183" s="112"/>
      <c r="E183" s="112"/>
      <c r="F183" s="6" t="s">
        <v>897</v>
      </c>
      <c r="G183" s="17">
        <v>4.25847</v>
      </c>
      <c r="H183" s="17">
        <v>0</v>
      </c>
      <c r="I183" s="17">
        <f>G183*AO183</f>
        <v>0</v>
      </c>
      <c r="J183" s="17">
        <f>G183*AP183</f>
        <v>0</v>
      </c>
      <c r="K183" s="17">
        <f>G183*H183</f>
        <v>0</v>
      </c>
      <c r="L183" s="29" t="s">
        <v>923</v>
      </c>
      <c r="Z183" s="33">
        <f>IF(AQ183="5",BJ183,0)</f>
        <v>0</v>
      </c>
      <c r="AB183" s="33">
        <f>IF(AQ183="1",BH183,0)</f>
        <v>0</v>
      </c>
      <c r="AC183" s="33">
        <f>IF(AQ183="1",BI183,0)</f>
        <v>0</v>
      </c>
      <c r="AD183" s="33">
        <f>IF(AQ183="7",BH183,0)</f>
        <v>0</v>
      </c>
      <c r="AE183" s="33">
        <f>IF(AQ183="7",BI183,0)</f>
        <v>0</v>
      </c>
      <c r="AF183" s="33">
        <f>IF(AQ183="2",BH183,0)</f>
        <v>0</v>
      </c>
      <c r="AG183" s="33">
        <f>IF(AQ183="2",BI183,0)</f>
        <v>0</v>
      </c>
      <c r="AH183" s="33">
        <f>IF(AQ183="0",BJ183,0)</f>
        <v>0</v>
      </c>
      <c r="AI183" s="28"/>
      <c r="AJ183" s="17">
        <f>IF(AN183=0,K183,0)</f>
        <v>0</v>
      </c>
      <c r="AK183" s="17">
        <f>IF(AN183=15,K183,0)</f>
        <v>0</v>
      </c>
      <c r="AL183" s="17">
        <f>IF(AN183=21,K183,0)</f>
        <v>0</v>
      </c>
      <c r="AN183" s="33">
        <v>21</v>
      </c>
      <c r="AO183" s="33">
        <f>H183*1</f>
        <v>0</v>
      </c>
      <c r="AP183" s="33">
        <f>H183*(1-1)</f>
        <v>0</v>
      </c>
      <c r="AQ183" s="29" t="s">
        <v>11</v>
      </c>
      <c r="AV183" s="33">
        <f>AW183+AX183</f>
        <v>0</v>
      </c>
      <c r="AW183" s="33">
        <f>G183*AO183</f>
        <v>0</v>
      </c>
      <c r="AX183" s="33">
        <f>G183*AP183</f>
        <v>0</v>
      </c>
      <c r="AY183" s="34" t="s">
        <v>961</v>
      </c>
      <c r="AZ183" s="34" t="s">
        <v>1002</v>
      </c>
      <c r="BA183" s="28" t="s">
        <v>1007</v>
      </c>
      <c r="BC183" s="33">
        <f>AW183+AX183</f>
        <v>0</v>
      </c>
      <c r="BD183" s="33">
        <f>H183/(100-BE183)*100</f>
        <v>0</v>
      </c>
      <c r="BE183" s="33">
        <v>0</v>
      </c>
      <c r="BF183" s="33">
        <f>187</f>
        <v>187</v>
      </c>
      <c r="BH183" s="17">
        <f>G183*AO183</f>
        <v>0</v>
      </c>
      <c r="BI183" s="17">
        <f>G183*AP183</f>
        <v>0</v>
      </c>
      <c r="BJ183" s="17">
        <f>G183*H183</f>
        <v>0</v>
      </c>
    </row>
    <row r="184" spans="1:62" ht="12.75">
      <c r="A184" s="4" t="s">
        <v>153</v>
      </c>
      <c r="B184" s="4" t="s">
        <v>430</v>
      </c>
      <c r="C184" s="107" t="s">
        <v>740</v>
      </c>
      <c r="D184" s="108"/>
      <c r="E184" s="108"/>
      <c r="F184" s="4" t="s">
        <v>901</v>
      </c>
      <c r="G184" s="16">
        <v>1</v>
      </c>
      <c r="H184" s="16">
        <v>0</v>
      </c>
      <c r="I184" s="16">
        <f>G184*AO184</f>
        <v>0</v>
      </c>
      <c r="J184" s="16">
        <f>G184*AP184</f>
        <v>0</v>
      </c>
      <c r="K184" s="16">
        <f>G184*H184</f>
        <v>0</v>
      </c>
      <c r="L184" s="27" t="s">
        <v>924</v>
      </c>
      <c r="Z184" s="33">
        <f>IF(AQ184="5",BJ184,0)</f>
        <v>0</v>
      </c>
      <c r="AB184" s="33">
        <f>IF(AQ184="1",BH184,0)</f>
        <v>0</v>
      </c>
      <c r="AC184" s="33">
        <f>IF(AQ184="1",BI184,0)</f>
        <v>0</v>
      </c>
      <c r="AD184" s="33">
        <f>IF(AQ184="7",BH184,0)</f>
        <v>0</v>
      </c>
      <c r="AE184" s="33">
        <f>IF(AQ184="7",BI184,0)</f>
        <v>0</v>
      </c>
      <c r="AF184" s="33">
        <f>IF(AQ184="2",BH184,0)</f>
        <v>0</v>
      </c>
      <c r="AG184" s="33">
        <f>IF(AQ184="2",BI184,0)</f>
        <v>0</v>
      </c>
      <c r="AH184" s="33">
        <f>IF(AQ184="0",BJ184,0)</f>
        <v>0</v>
      </c>
      <c r="AI184" s="28"/>
      <c r="AJ184" s="16">
        <f>IF(AN184=0,K184,0)</f>
        <v>0</v>
      </c>
      <c r="AK184" s="16">
        <f>IF(AN184=15,K184,0)</f>
        <v>0</v>
      </c>
      <c r="AL184" s="16">
        <f>IF(AN184=21,K184,0)</f>
        <v>0</v>
      </c>
      <c r="AN184" s="33">
        <v>21</v>
      </c>
      <c r="AO184" s="33">
        <f>H184*0.568181818181818</f>
        <v>0</v>
      </c>
      <c r="AP184" s="33">
        <f>H184*(1-0.568181818181818)</f>
        <v>0</v>
      </c>
      <c r="AQ184" s="27" t="s">
        <v>11</v>
      </c>
      <c r="AV184" s="33">
        <f>AW184+AX184</f>
        <v>0</v>
      </c>
      <c r="AW184" s="33">
        <f>G184*AO184</f>
        <v>0</v>
      </c>
      <c r="AX184" s="33">
        <f>G184*AP184</f>
        <v>0</v>
      </c>
      <c r="AY184" s="34" t="s">
        <v>961</v>
      </c>
      <c r="AZ184" s="34" t="s">
        <v>1002</v>
      </c>
      <c r="BA184" s="28" t="s">
        <v>1007</v>
      </c>
      <c r="BC184" s="33">
        <f>AW184+AX184</f>
        <v>0</v>
      </c>
      <c r="BD184" s="33">
        <f>H184/(100-BE184)*100</f>
        <v>0</v>
      </c>
      <c r="BE184" s="33">
        <v>0</v>
      </c>
      <c r="BF184" s="33">
        <f>188</f>
        <v>188</v>
      </c>
      <c r="BH184" s="16">
        <f>G184*AO184</f>
        <v>0</v>
      </c>
      <c r="BI184" s="16">
        <f>G184*AP184</f>
        <v>0</v>
      </c>
      <c r="BJ184" s="16">
        <f>G184*H184</f>
        <v>0</v>
      </c>
    </row>
    <row r="185" spans="1:47" ht="12.75">
      <c r="A185" s="5"/>
      <c r="B185" s="13" t="s">
        <v>431</v>
      </c>
      <c r="C185" s="109" t="s">
        <v>741</v>
      </c>
      <c r="D185" s="110"/>
      <c r="E185" s="110"/>
      <c r="F185" s="5" t="s">
        <v>6</v>
      </c>
      <c r="G185" s="5" t="s">
        <v>6</v>
      </c>
      <c r="H185" s="5" t="s">
        <v>6</v>
      </c>
      <c r="I185" s="36">
        <f>SUM(I186:I195)</f>
        <v>0</v>
      </c>
      <c r="J185" s="36">
        <f>SUM(J186:J195)</f>
        <v>0</v>
      </c>
      <c r="K185" s="36">
        <f>SUM(K186:K195)</f>
        <v>0</v>
      </c>
      <c r="L185" s="28"/>
      <c r="AI185" s="28"/>
      <c r="AS185" s="36">
        <f>SUM(AJ186:AJ195)</f>
        <v>0</v>
      </c>
      <c r="AT185" s="36">
        <f>SUM(AK186:AK195)</f>
        <v>0</v>
      </c>
      <c r="AU185" s="36">
        <f>SUM(AL186:AL195)</f>
        <v>0</v>
      </c>
    </row>
    <row r="186" spans="1:62" ht="12.75">
      <c r="A186" s="4" t="s">
        <v>154</v>
      </c>
      <c r="B186" s="4" t="s">
        <v>432</v>
      </c>
      <c r="C186" s="107" t="s">
        <v>742</v>
      </c>
      <c r="D186" s="108"/>
      <c r="E186" s="108"/>
      <c r="F186" s="4" t="s">
        <v>895</v>
      </c>
      <c r="G186" s="16">
        <v>112</v>
      </c>
      <c r="H186" s="16">
        <v>0</v>
      </c>
      <c r="I186" s="16">
        <f aca="true" t="shared" si="176" ref="I186:I195">G186*AO186</f>
        <v>0</v>
      </c>
      <c r="J186" s="16">
        <f aca="true" t="shared" si="177" ref="J186:J195">G186*AP186</f>
        <v>0</v>
      </c>
      <c r="K186" s="16">
        <f aca="true" t="shared" si="178" ref="K186:K195">G186*H186</f>
        <v>0</v>
      </c>
      <c r="L186" s="27" t="s">
        <v>922</v>
      </c>
      <c r="Z186" s="33">
        <f aca="true" t="shared" si="179" ref="Z186:Z195">IF(AQ186="5",BJ186,0)</f>
        <v>0</v>
      </c>
      <c r="AB186" s="33">
        <f aca="true" t="shared" si="180" ref="AB186:AB195">IF(AQ186="1",BH186,0)</f>
        <v>0</v>
      </c>
      <c r="AC186" s="33">
        <f aca="true" t="shared" si="181" ref="AC186:AC195">IF(AQ186="1",BI186,0)</f>
        <v>0</v>
      </c>
      <c r="AD186" s="33">
        <f aca="true" t="shared" si="182" ref="AD186:AD195">IF(AQ186="7",BH186,0)</f>
        <v>0</v>
      </c>
      <c r="AE186" s="33">
        <f aca="true" t="shared" si="183" ref="AE186:AE195">IF(AQ186="7",BI186,0)</f>
        <v>0</v>
      </c>
      <c r="AF186" s="33">
        <f aca="true" t="shared" si="184" ref="AF186:AF195">IF(AQ186="2",BH186,0)</f>
        <v>0</v>
      </c>
      <c r="AG186" s="33">
        <f aca="true" t="shared" si="185" ref="AG186:AG195">IF(AQ186="2",BI186,0)</f>
        <v>0</v>
      </c>
      <c r="AH186" s="33">
        <f aca="true" t="shared" si="186" ref="AH186:AH195">IF(AQ186="0",BJ186,0)</f>
        <v>0</v>
      </c>
      <c r="AI186" s="28"/>
      <c r="AJ186" s="16">
        <f aca="true" t="shared" si="187" ref="AJ186:AJ195">IF(AN186=0,K186,0)</f>
        <v>0</v>
      </c>
      <c r="AK186" s="16">
        <f aca="true" t="shared" si="188" ref="AK186:AK195">IF(AN186=15,K186,0)</f>
        <v>0</v>
      </c>
      <c r="AL186" s="16">
        <f aca="true" t="shared" si="189" ref="AL186:AL195">IF(AN186=21,K186,0)</f>
        <v>0</v>
      </c>
      <c r="AN186" s="33">
        <v>21</v>
      </c>
      <c r="AO186" s="33">
        <f>H186*0.435943127962085</f>
        <v>0</v>
      </c>
      <c r="AP186" s="33">
        <f>H186*(1-0.435943127962085)</f>
        <v>0</v>
      </c>
      <c r="AQ186" s="27" t="s">
        <v>11</v>
      </c>
      <c r="AV186" s="33">
        <f aca="true" t="shared" si="190" ref="AV186:AV195">AW186+AX186</f>
        <v>0</v>
      </c>
      <c r="AW186" s="33">
        <f aca="true" t="shared" si="191" ref="AW186:AW195">G186*AO186</f>
        <v>0</v>
      </c>
      <c r="AX186" s="33">
        <f aca="true" t="shared" si="192" ref="AX186:AX195">G186*AP186</f>
        <v>0</v>
      </c>
      <c r="AY186" s="34" t="s">
        <v>962</v>
      </c>
      <c r="AZ186" s="34" t="s">
        <v>1002</v>
      </c>
      <c r="BA186" s="28" t="s">
        <v>1007</v>
      </c>
      <c r="BC186" s="33">
        <f aca="true" t="shared" si="193" ref="BC186:BC195">AW186+AX186</f>
        <v>0</v>
      </c>
      <c r="BD186" s="33">
        <f aca="true" t="shared" si="194" ref="BD186:BD195">H186/(100-BE186)*100</f>
        <v>0</v>
      </c>
      <c r="BE186" s="33">
        <v>0</v>
      </c>
      <c r="BF186" s="33">
        <f>190</f>
        <v>190</v>
      </c>
      <c r="BH186" s="16">
        <f aca="true" t="shared" si="195" ref="BH186:BH195">G186*AO186</f>
        <v>0</v>
      </c>
      <c r="BI186" s="16">
        <f aca="true" t="shared" si="196" ref="BI186:BI195">G186*AP186</f>
        <v>0</v>
      </c>
      <c r="BJ186" s="16">
        <f aca="true" t="shared" si="197" ref="BJ186:BJ195">G186*H186</f>
        <v>0</v>
      </c>
    </row>
    <row r="187" spans="1:62" ht="12.75">
      <c r="A187" s="4" t="s">
        <v>155</v>
      </c>
      <c r="B187" s="4" t="s">
        <v>433</v>
      </c>
      <c r="C187" s="107" t="s">
        <v>743</v>
      </c>
      <c r="D187" s="108"/>
      <c r="E187" s="108"/>
      <c r="F187" s="4" t="s">
        <v>899</v>
      </c>
      <c r="G187" s="16">
        <v>18.3</v>
      </c>
      <c r="H187" s="16">
        <v>0</v>
      </c>
      <c r="I187" s="16">
        <f t="shared" si="176"/>
        <v>0</v>
      </c>
      <c r="J187" s="16">
        <f t="shared" si="177"/>
        <v>0</v>
      </c>
      <c r="K187" s="16">
        <f t="shared" si="178"/>
        <v>0</v>
      </c>
      <c r="L187" s="27" t="s">
        <v>922</v>
      </c>
      <c r="Z187" s="33">
        <f t="shared" si="179"/>
        <v>0</v>
      </c>
      <c r="AB187" s="33">
        <f t="shared" si="180"/>
        <v>0</v>
      </c>
      <c r="AC187" s="33">
        <f t="shared" si="181"/>
        <v>0</v>
      </c>
      <c r="AD187" s="33">
        <f t="shared" si="182"/>
        <v>0</v>
      </c>
      <c r="AE187" s="33">
        <f t="shared" si="183"/>
        <v>0</v>
      </c>
      <c r="AF187" s="33">
        <f t="shared" si="184"/>
        <v>0</v>
      </c>
      <c r="AG187" s="33">
        <f t="shared" si="185"/>
        <v>0</v>
      </c>
      <c r="AH187" s="33">
        <f t="shared" si="186"/>
        <v>0</v>
      </c>
      <c r="AI187" s="28"/>
      <c r="AJ187" s="16">
        <f t="shared" si="187"/>
        <v>0</v>
      </c>
      <c r="AK187" s="16">
        <f t="shared" si="188"/>
        <v>0</v>
      </c>
      <c r="AL187" s="16">
        <f t="shared" si="189"/>
        <v>0</v>
      </c>
      <c r="AN187" s="33">
        <v>21</v>
      </c>
      <c r="AO187" s="33">
        <f>H187*0.462308134460222</f>
        <v>0</v>
      </c>
      <c r="AP187" s="33">
        <f>H187*(1-0.462308134460222)</f>
        <v>0</v>
      </c>
      <c r="AQ187" s="27" t="s">
        <v>11</v>
      </c>
      <c r="AV187" s="33">
        <f t="shared" si="190"/>
        <v>0</v>
      </c>
      <c r="AW187" s="33">
        <f t="shared" si="191"/>
        <v>0</v>
      </c>
      <c r="AX187" s="33">
        <f t="shared" si="192"/>
        <v>0</v>
      </c>
      <c r="AY187" s="34" t="s">
        <v>962</v>
      </c>
      <c r="AZ187" s="34" t="s">
        <v>1002</v>
      </c>
      <c r="BA187" s="28" t="s">
        <v>1007</v>
      </c>
      <c r="BC187" s="33">
        <f t="shared" si="193"/>
        <v>0</v>
      </c>
      <c r="BD187" s="33">
        <f t="shared" si="194"/>
        <v>0</v>
      </c>
      <c r="BE187" s="33">
        <v>0</v>
      </c>
      <c r="BF187" s="33">
        <f>191</f>
        <v>191</v>
      </c>
      <c r="BH187" s="16">
        <f t="shared" si="195"/>
        <v>0</v>
      </c>
      <c r="BI187" s="16">
        <f t="shared" si="196"/>
        <v>0</v>
      </c>
      <c r="BJ187" s="16">
        <f t="shared" si="197"/>
        <v>0</v>
      </c>
    </row>
    <row r="188" spans="1:62" ht="12.75">
      <c r="A188" s="4" t="s">
        <v>156</v>
      </c>
      <c r="B188" s="4" t="s">
        <v>434</v>
      </c>
      <c r="C188" s="107" t="s">
        <v>744</v>
      </c>
      <c r="D188" s="108"/>
      <c r="E188" s="108"/>
      <c r="F188" s="4" t="s">
        <v>899</v>
      </c>
      <c r="G188" s="16">
        <v>29.27</v>
      </c>
      <c r="H188" s="16">
        <v>0</v>
      </c>
      <c r="I188" s="16">
        <f t="shared" si="176"/>
        <v>0</v>
      </c>
      <c r="J188" s="16">
        <f t="shared" si="177"/>
        <v>0</v>
      </c>
      <c r="K188" s="16">
        <f t="shared" si="178"/>
        <v>0</v>
      </c>
      <c r="L188" s="27" t="s">
        <v>922</v>
      </c>
      <c r="Z188" s="33">
        <f t="shared" si="179"/>
        <v>0</v>
      </c>
      <c r="AB188" s="33">
        <f t="shared" si="180"/>
        <v>0</v>
      </c>
      <c r="AC188" s="33">
        <f t="shared" si="181"/>
        <v>0</v>
      </c>
      <c r="AD188" s="33">
        <f t="shared" si="182"/>
        <v>0</v>
      </c>
      <c r="AE188" s="33">
        <f t="shared" si="183"/>
        <v>0</v>
      </c>
      <c r="AF188" s="33">
        <f t="shared" si="184"/>
        <v>0</v>
      </c>
      <c r="AG188" s="33">
        <f t="shared" si="185"/>
        <v>0</v>
      </c>
      <c r="AH188" s="33">
        <f t="shared" si="186"/>
        <v>0</v>
      </c>
      <c r="AI188" s="28"/>
      <c r="AJ188" s="16">
        <f t="shared" si="187"/>
        <v>0</v>
      </c>
      <c r="AK188" s="16">
        <f t="shared" si="188"/>
        <v>0</v>
      </c>
      <c r="AL188" s="16">
        <f t="shared" si="189"/>
        <v>0</v>
      </c>
      <c r="AN188" s="33">
        <v>21</v>
      </c>
      <c r="AO188" s="33">
        <f>H188*0.425864014234024</f>
        <v>0</v>
      </c>
      <c r="AP188" s="33">
        <f>H188*(1-0.425864014234024)</f>
        <v>0</v>
      </c>
      <c r="AQ188" s="27" t="s">
        <v>11</v>
      </c>
      <c r="AV188" s="33">
        <f t="shared" si="190"/>
        <v>0</v>
      </c>
      <c r="AW188" s="33">
        <f t="shared" si="191"/>
        <v>0</v>
      </c>
      <c r="AX188" s="33">
        <f t="shared" si="192"/>
        <v>0</v>
      </c>
      <c r="AY188" s="34" t="s">
        <v>962</v>
      </c>
      <c r="AZ188" s="34" t="s">
        <v>1002</v>
      </c>
      <c r="BA188" s="28" t="s">
        <v>1007</v>
      </c>
      <c r="BC188" s="33">
        <f t="shared" si="193"/>
        <v>0</v>
      </c>
      <c r="BD188" s="33">
        <f t="shared" si="194"/>
        <v>0</v>
      </c>
      <c r="BE188" s="33">
        <v>0</v>
      </c>
      <c r="BF188" s="33">
        <f>192</f>
        <v>192</v>
      </c>
      <c r="BH188" s="16">
        <f t="shared" si="195"/>
        <v>0</v>
      </c>
      <c r="BI188" s="16">
        <f t="shared" si="196"/>
        <v>0</v>
      </c>
      <c r="BJ188" s="16">
        <f t="shared" si="197"/>
        <v>0</v>
      </c>
    </row>
    <row r="189" spans="1:62" ht="12.75">
      <c r="A189" s="4" t="s">
        <v>157</v>
      </c>
      <c r="B189" s="4" t="s">
        <v>435</v>
      </c>
      <c r="C189" s="107" t="s">
        <v>745</v>
      </c>
      <c r="D189" s="108"/>
      <c r="E189" s="108"/>
      <c r="F189" s="4" t="s">
        <v>896</v>
      </c>
      <c r="G189" s="16">
        <v>2</v>
      </c>
      <c r="H189" s="16">
        <v>0</v>
      </c>
      <c r="I189" s="16">
        <f t="shared" si="176"/>
        <v>0</v>
      </c>
      <c r="J189" s="16">
        <f t="shared" si="177"/>
        <v>0</v>
      </c>
      <c r="K189" s="16">
        <f t="shared" si="178"/>
        <v>0</v>
      </c>
      <c r="L189" s="27" t="s">
        <v>922</v>
      </c>
      <c r="Z189" s="33">
        <f t="shared" si="179"/>
        <v>0</v>
      </c>
      <c r="AB189" s="33">
        <f t="shared" si="180"/>
        <v>0</v>
      </c>
      <c r="AC189" s="33">
        <f t="shared" si="181"/>
        <v>0</v>
      </c>
      <c r="AD189" s="33">
        <f t="shared" si="182"/>
        <v>0</v>
      </c>
      <c r="AE189" s="33">
        <f t="shared" si="183"/>
        <v>0</v>
      </c>
      <c r="AF189" s="33">
        <f t="shared" si="184"/>
        <v>0</v>
      </c>
      <c r="AG189" s="33">
        <f t="shared" si="185"/>
        <v>0</v>
      </c>
      <c r="AH189" s="33">
        <f t="shared" si="186"/>
        <v>0</v>
      </c>
      <c r="AI189" s="28"/>
      <c r="AJ189" s="16">
        <f t="shared" si="187"/>
        <v>0</v>
      </c>
      <c r="AK189" s="16">
        <f t="shared" si="188"/>
        <v>0</v>
      </c>
      <c r="AL189" s="16">
        <f t="shared" si="189"/>
        <v>0</v>
      </c>
      <c r="AN189" s="33">
        <v>21</v>
      </c>
      <c r="AO189" s="33">
        <f>H189*0.301150592216582</f>
        <v>0</v>
      </c>
      <c r="AP189" s="33">
        <f>H189*(1-0.301150592216582)</f>
        <v>0</v>
      </c>
      <c r="AQ189" s="27" t="s">
        <v>11</v>
      </c>
      <c r="AV189" s="33">
        <f t="shared" si="190"/>
        <v>0</v>
      </c>
      <c r="AW189" s="33">
        <f t="shared" si="191"/>
        <v>0</v>
      </c>
      <c r="AX189" s="33">
        <f t="shared" si="192"/>
        <v>0</v>
      </c>
      <c r="AY189" s="34" t="s">
        <v>962</v>
      </c>
      <c r="AZ189" s="34" t="s">
        <v>1002</v>
      </c>
      <c r="BA189" s="28" t="s">
        <v>1007</v>
      </c>
      <c r="BC189" s="33">
        <f t="shared" si="193"/>
        <v>0</v>
      </c>
      <c r="BD189" s="33">
        <f t="shared" si="194"/>
        <v>0</v>
      </c>
      <c r="BE189" s="33">
        <v>0</v>
      </c>
      <c r="BF189" s="33">
        <f>193</f>
        <v>193</v>
      </c>
      <c r="BH189" s="16">
        <f t="shared" si="195"/>
        <v>0</v>
      </c>
      <c r="BI189" s="16">
        <f t="shared" si="196"/>
        <v>0</v>
      </c>
      <c r="BJ189" s="16">
        <f t="shared" si="197"/>
        <v>0</v>
      </c>
    </row>
    <row r="190" spans="1:62" ht="12.75">
      <c r="A190" s="4" t="s">
        <v>158</v>
      </c>
      <c r="B190" s="4" t="s">
        <v>436</v>
      </c>
      <c r="C190" s="107" t="s">
        <v>746</v>
      </c>
      <c r="D190" s="108"/>
      <c r="E190" s="108"/>
      <c r="F190" s="4" t="s">
        <v>899</v>
      </c>
      <c r="G190" s="16">
        <v>17.878</v>
      </c>
      <c r="H190" s="16">
        <v>0</v>
      </c>
      <c r="I190" s="16">
        <f t="shared" si="176"/>
        <v>0</v>
      </c>
      <c r="J190" s="16">
        <f t="shared" si="177"/>
        <v>0</v>
      </c>
      <c r="K190" s="16">
        <f t="shared" si="178"/>
        <v>0</v>
      </c>
      <c r="L190" s="27" t="s">
        <v>922</v>
      </c>
      <c r="Z190" s="33">
        <f t="shared" si="179"/>
        <v>0</v>
      </c>
      <c r="AB190" s="33">
        <f t="shared" si="180"/>
        <v>0</v>
      </c>
      <c r="AC190" s="33">
        <f t="shared" si="181"/>
        <v>0</v>
      </c>
      <c r="AD190" s="33">
        <f t="shared" si="182"/>
        <v>0</v>
      </c>
      <c r="AE190" s="33">
        <f t="shared" si="183"/>
        <v>0</v>
      </c>
      <c r="AF190" s="33">
        <f t="shared" si="184"/>
        <v>0</v>
      </c>
      <c r="AG190" s="33">
        <f t="shared" si="185"/>
        <v>0</v>
      </c>
      <c r="AH190" s="33">
        <f t="shared" si="186"/>
        <v>0</v>
      </c>
      <c r="AI190" s="28"/>
      <c r="AJ190" s="16">
        <f t="shared" si="187"/>
        <v>0</v>
      </c>
      <c r="AK190" s="16">
        <f t="shared" si="188"/>
        <v>0</v>
      </c>
      <c r="AL190" s="16">
        <f t="shared" si="189"/>
        <v>0</v>
      </c>
      <c r="AN190" s="33">
        <v>21</v>
      </c>
      <c r="AO190" s="33">
        <f>H190*0.268217343584284</f>
        <v>0</v>
      </c>
      <c r="AP190" s="33">
        <f>H190*(1-0.268217343584284)</f>
        <v>0</v>
      </c>
      <c r="AQ190" s="27" t="s">
        <v>11</v>
      </c>
      <c r="AV190" s="33">
        <f t="shared" si="190"/>
        <v>0</v>
      </c>
      <c r="AW190" s="33">
        <f t="shared" si="191"/>
        <v>0</v>
      </c>
      <c r="AX190" s="33">
        <f t="shared" si="192"/>
        <v>0</v>
      </c>
      <c r="AY190" s="34" t="s">
        <v>962</v>
      </c>
      <c r="AZ190" s="34" t="s">
        <v>1002</v>
      </c>
      <c r="BA190" s="28" t="s">
        <v>1007</v>
      </c>
      <c r="BC190" s="33">
        <f t="shared" si="193"/>
        <v>0</v>
      </c>
      <c r="BD190" s="33">
        <f t="shared" si="194"/>
        <v>0</v>
      </c>
      <c r="BE190" s="33">
        <v>0</v>
      </c>
      <c r="BF190" s="33">
        <f>194</f>
        <v>194</v>
      </c>
      <c r="BH190" s="16">
        <f t="shared" si="195"/>
        <v>0</v>
      </c>
      <c r="BI190" s="16">
        <f t="shared" si="196"/>
        <v>0</v>
      </c>
      <c r="BJ190" s="16">
        <f t="shared" si="197"/>
        <v>0</v>
      </c>
    </row>
    <row r="191" spans="1:62" ht="12.75">
      <c r="A191" s="4" t="s">
        <v>159</v>
      </c>
      <c r="B191" s="4" t="s">
        <v>437</v>
      </c>
      <c r="C191" s="107" t="s">
        <v>747</v>
      </c>
      <c r="D191" s="108"/>
      <c r="E191" s="108"/>
      <c r="F191" s="4" t="s">
        <v>896</v>
      </c>
      <c r="G191" s="16">
        <v>2</v>
      </c>
      <c r="H191" s="16">
        <v>0</v>
      </c>
      <c r="I191" s="16">
        <f t="shared" si="176"/>
        <v>0</v>
      </c>
      <c r="J191" s="16">
        <f t="shared" si="177"/>
        <v>0</v>
      </c>
      <c r="K191" s="16">
        <f t="shared" si="178"/>
        <v>0</v>
      </c>
      <c r="L191" s="27" t="s">
        <v>922</v>
      </c>
      <c r="Z191" s="33">
        <f t="shared" si="179"/>
        <v>0</v>
      </c>
      <c r="AB191" s="33">
        <f t="shared" si="180"/>
        <v>0</v>
      </c>
      <c r="AC191" s="33">
        <f t="shared" si="181"/>
        <v>0</v>
      </c>
      <c r="AD191" s="33">
        <f t="shared" si="182"/>
        <v>0</v>
      </c>
      <c r="AE191" s="33">
        <f t="shared" si="183"/>
        <v>0</v>
      </c>
      <c r="AF191" s="33">
        <f t="shared" si="184"/>
        <v>0</v>
      </c>
      <c r="AG191" s="33">
        <f t="shared" si="185"/>
        <v>0</v>
      </c>
      <c r="AH191" s="33">
        <f t="shared" si="186"/>
        <v>0</v>
      </c>
      <c r="AI191" s="28"/>
      <c r="AJ191" s="16">
        <f t="shared" si="187"/>
        <v>0</v>
      </c>
      <c r="AK191" s="16">
        <f t="shared" si="188"/>
        <v>0</v>
      </c>
      <c r="AL191" s="16">
        <f t="shared" si="189"/>
        <v>0</v>
      </c>
      <c r="AN191" s="33">
        <v>21</v>
      </c>
      <c r="AO191" s="33">
        <f>H191*0.10806015037594</f>
        <v>0</v>
      </c>
      <c r="AP191" s="33">
        <f>H191*(1-0.10806015037594)</f>
        <v>0</v>
      </c>
      <c r="AQ191" s="27" t="s">
        <v>11</v>
      </c>
      <c r="AV191" s="33">
        <f t="shared" si="190"/>
        <v>0</v>
      </c>
      <c r="AW191" s="33">
        <f t="shared" si="191"/>
        <v>0</v>
      </c>
      <c r="AX191" s="33">
        <f t="shared" si="192"/>
        <v>0</v>
      </c>
      <c r="AY191" s="34" t="s">
        <v>962</v>
      </c>
      <c r="AZ191" s="34" t="s">
        <v>1002</v>
      </c>
      <c r="BA191" s="28" t="s">
        <v>1007</v>
      </c>
      <c r="BC191" s="33">
        <f t="shared" si="193"/>
        <v>0</v>
      </c>
      <c r="BD191" s="33">
        <f t="shared" si="194"/>
        <v>0</v>
      </c>
      <c r="BE191" s="33">
        <v>0</v>
      </c>
      <c r="BF191" s="33">
        <f>195</f>
        <v>195</v>
      </c>
      <c r="BH191" s="16">
        <f t="shared" si="195"/>
        <v>0</v>
      </c>
      <c r="BI191" s="16">
        <f t="shared" si="196"/>
        <v>0</v>
      </c>
      <c r="BJ191" s="16">
        <f t="shared" si="197"/>
        <v>0</v>
      </c>
    </row>
    <row r="192" spans="1:62" ht="12.75">
      <c r="A192" s="4" t="s">
        <v>160</v>
      </c>
      <c r="B192" s="4" t="s">
        <v>438</v>
      </c>
      <c r="C192" s="107" t="s">
        <v>748</v>
      </c>
      <c r="D192" s="108"/>
      <c r="E192" s="108"/>
      <c r="F192" s="4" t="s">
        <v>899</v>
      </c>
      <c r="G192" s="16">
        <v>17.878</v>
      </c>
      <c r="H192" s="16">
        <v>0</v>
      </c>
      <c r="I192" s="16">
        <f t="shared" si="176"/>
        <v>0</v>
      </c>
      <c r="J192" s="16">
        <f t="shared" si="177"/>
        <v>0</v>
      </c>
      <c r="K192" s="16">
        <f t="shared" si="178"/>
        <v>0</v>
      </c>
      <c r="L192" s="27" t="s">
        <v>922</v>
      </c>
      <c r="Z192" s="33">
        <f t="shared" si="179"/>
        <v>0</v>
      </c>
      <c r="AB192" s="33">
        <f t="shared" si="180"/>
        <v>0</v>
      </c>
      <c r="AC192" s="33">
        <f t="shared" si="181"/>
        <v>0</v>
      </c>
      <c r="AD192" s="33">
        <f t="shared" si="182"/>
        <v>0</v>
      </c>
      <c r="AE192" s="33">
        <f t="shared" si="183"/>
        <v>0</v>
      </c>
      <c r="AF192" s="33">
        <f t="shared" si="184"/>
        <v>0</v>
      </c>
      <c r="AG192" s="33">
        <f t="shared" si="185"/>
        <v>0</v>
      </c>
      <c r="AH192" s="33">
        <f t="shared" si="186"/>
        <v>0</v>
      </c>
      <c r="AI192" s="28"/>
      <c r="AJ192" s="16">
        <f t="shared" si="187"/>
        <v>0</v>
      </c>
      <c r="AK192" s="16">
        <f t="shared" si="188"/>
        <v>0</v>
      </c>
      <c r="AL192" s="16">
        <f t="shared" si="189"/>
        <v>0</v>
      </c>
      <c r="AN192" s="33">
        <v>21</v>
      </c>
      <c r="AO192" s="33">
        <f>H192*0.647094439031432</f>
        <v>0</v>
      </c>
      <c r="AP192" s="33">
        <f>H192*(1-0.647094439031432)</f>
        <v>0</v>
      </c>
      <c r="AQ192" s="27" t="s">
        <v>11</v>
      </c>
      <c r="AV192" s="33">
        <f t="shared" si="190"/>
        <v>0</v>
      </c>
      <c r="AW192" s="33">
        <f t="shared" si="191"/>
        <v>0</v>
      </c>
      <c r="AX192" s="33">
        <f t="shared" si="192"/>
        <v>0</v>
      </c>
      <c r="AY192" s="34" t="s">
        <v>962</v>
      </c>
      <c r="AZ192" s="34" t="s">
        <v>1002</v>
      </c>
      <c r="BA192" s="28" t="s">
        <v>1007</v>
      </c>
      <c r="BC192" s="33">
        <f t="shared" si="193"/>
        <v>0</v>
      </c>
      <c r="BD192" s="33">
        <f t="shared" si="194"/>
        <v>0</v>
      </c>
      <c r="BE192" s="33">
        <v>0</v>
      </c>
      <c r="BF192" s="33">
        <f>196</f>
        <v>196</v>
      </c>
      <c r="BH192" s="16">
        <f t="shared" si="195"/>
        <v>0</v>
      </c>
      <c r="BI192" s="16">
        <f t="shared" si="196"/>
        <v>0</v>
      </c>
      <c r="BJ192" s="16">
        <f t="shared" si="197"/>
        <v>0</v>
      </c>
    </row>
    <row r="193" spans="1:62" ht="12.75">
      <c r="A193" s="4" t="s">
        <v>161</v>
      </c>
      <c r="B193" s="4" t="s">
        <v>439</v>
      </c>
      <c r="C193" s="107" t="s">
        <v>749</v>
      </c>
      <c r="D193" s="108"/>
      <c r="E193" s="108"/>
      <c r="F193" s="4" t="s">
        <v>899</v>
      </c>
      <c r="G193" s="16">
        <v>18.3</v>
      </c>
      <c r="H193" s="16">
        <v>0</v>
      </c>
      <c r="I193" s="16">
        <f t="shared" si="176"/>
        <v>0</v>
      </c>
      <c r="J193" s="16">
        <f t="shared" si="177"/>
        <v>0</v>
      </c>
      <c r="K193" s="16">
        <f t="shared" si="178"/>
        <v>0</v>
      </c>
      <c r="L193" s="27" t="s">
        <v>922</v>
      </c>
      <c r="Z193" s="33">
        <f t="shared" si="179"/>
        <v>0</v>
      </c>
      <c r="AB193" s="33">
        <f t="shared" si="180"/>
        <v>0</v>
      </c>
      <c r="AC193" s="33">
        <f t="shared" si="181"/>
        <v>0</v>
      </c>
      <c r="AD193" s="33">
        <f t="shared" si="182"/>
        <v>0</v>
      </c>
      <c r="AE193" s="33">
        <f t="shared" si="183"/>
        <v>0</v>
      </c>
      <c r="AF193" s="33">
        <f t="shared" si="184"/>
        <v>0</v>
      </c>
      <c r="AG193" s="33">
        <f t="shared" si="185"/>
        <v>0</v>
      </c>
      <c r="AH193" s="33">
        <f t="shared" si="186"/>
        <v>0</v>
      </c>
      <c r="AI193" s="28"/>
      <c r="AJ193" s="16">
        <f t="shared" si="187"/>
        <v>0</v>
      </c>
      <c r="AK193" s="16">
        <f t="shared" si="188"/>
        <v>0</v>
      </c>
      <c r="AL193" s="16">
        <f t="shared" si="189"/>
        <v>0</v>
      </c>
      <c r="AN193" s="33">
        <v>21</v>
      </c>
      <c r="AO193" s="33">
        <f>H193*0.230660592255125</f>
        <v>0</v>
      </c>
      <c r="AP193" s="33">
        <f>H193*(1-0.230660592255125)</f>
        <v>0</v>
      </c>
      <c r="AQ193" s="27" t="s">
        <v>11</v>
      </c>
      <c r="AV193" s="33">
        <f t="shared" si="190"/>
        <v>0</v>
      </c>
      <c r="AW193" s="33">
        <f t="shared" si="191"/>
        <v>0</v>
      </c>
      <c r="AX193" s="33">
        <f t="shared" si="192"/>
        <v>0</v>
      </c>
      <c r="AY193" s="34" t="s">
        <v>962</v>
      </c>
      <c r="AZ193" s="34" t="s">
        <v>1002</v>
      </c>
      <c r="BA193" s="28" t="s">
        <v>1007</v>
      </c>
      <c r="BC193" s="33">
        <f t="shared" si="193"/>
        <v>0</v>
      </c>
      <c r="BD193" s="33">
        <f t="shared" si="194"/>
        <v>0</v>
      </c>
      <c r="BE193" s="33">
        <v>0</v>
      </c>
      <c r="BF193" s="33">
        <f>197</f>
        <v>197</v>
      </c>
      <c r="BH193" s="16">
        <f t="shared" si="195"/>
        <v>0</v>
      </c>
      <c r="BI193" s="16">
        <f t="shared" si="196"/>
        <v>0</v>
      </c>
      <c r="BJ193" s="16">
        <f t="shared" si="197"/>
        <v>0</v>
      </c>
    </row>
    <row r="194" spans="1:62" ht="12.75">
      <c r="A194" s="4" t="s">
        <v>162</v>
      </c>
      <c r="B194" s="4" t="s">
        <v>440</v>
      </c>
      <c r="C194" s="107" t="s">
        <v>750</v>
      </c>
      <c r="D194" s="108"/>
      <c r="E194" s="108"/>
      <c r="F194" s="4" t="s">
        <v>899</v>
      </c>
      <c r="G194" s="16">
        <v>7</v>
      </c>
      <c r="H194" s="16">
        <v>0</v>
      </c>
      <c r="I194" s="16">
        <f t="shared" si="176"/>
        <v>0</v>
      </c>
      <c r="J194" s="16">
        <f t="shared" si="177"/>
        <v>0</v>
      </c>
      <c r="K194" s="16">
        <f t="shared" si="178"/>
        <v>0</v>
      </c>
      <c r="L194" s="27" t="s">
        <v>922</v>
      </c>
      <c r="Z194" s="33">
        <f t="shared" si="179"/>
        <v>0</v>
      </c>
      <c r="AB194" s="33">
        <f t="shared" si="180"/>
        <v>0</v>
      </c>
      <c r="AC194" s="33">
        <f t="shared" si="181"/>
        <v>0</v>
      </c>
      <c r="AD194" s="33">
        <f t="shared" si="182"/>
        <v>0</v>
      </c>
      <c r="AE194" s="33">
        <f t="shared" si="183"/>
        <v>0</v>
      </c>
      <c r="AF194" s="33">
        <f t="shared" si="184"/>
        <v>0</v>
      </c>
      <c r="AG194" s="33">
        <f t="shared" si="185"/>
        <v>0</v>
      </c>
      <c r="AH194" s="33">
        <f t="shared" si="186"/>
        <v>0</v>
      </c>
      <c r="AI194" s="28"/>
      <c r="AJ194" s="16">
        <f t="shared" si="187"/>
        <v>0</v>
      </c>
      <c r="AK194" s="16">
        <f t="shared" si="188"/>
        <v>0</v>
      </c>
      <c r="AL194" s="16">
        <f t="shared" si="189"/>
        <v>0</v>
      </c>
      <c r="AN194" s="33">
        <v>21</v>
      </c>
      <c r="AO194" s="33">
        <f>H194*0.377856365614799</f>
        <v>0</v>
      </c>
      <c r="AP194" s="33">
        <f>H194*(1-0.377856365614799)</f>
        <v>0</v>
      </c>
      <c r="AQ194" s="27" t="s">
        <v>11</v>
      </c>
      <c r="AV194" s="33">
        <f t="shared" si="190"/>
        <v>0</v>
      </c>
      <c r="AW194" s="33">
        <f t="shared" si="191"/>
        <v>0</v>
      </c>
      <c r="AX194" s="33">
        <f t="shared" si="192"/>
        <v>0</v>
      </c>
      <c r="AY194" s="34" t="s">
        <v>962</v>
      </c>
      <c r="AZ194" s="34" t="s">
        <v>1002</v>
      </c>
      <c r="BA194" s="28" t="s">
        <v>1007</v>
      </c>
      <c r="BC194" s="33">
        <f t="shared" si="193"/>
        <v>0</v>
      </c>
      <c r="BD194" s="33">
        <f t="shared" si="194"/>
        <v>0</v>
      </c>
      <c r="BE194" s="33">
        <v>0</v>
      </c>
      <c r="BF194" s="33">
        <f>198</f>
        <v>198</v>
      </c>
      <c r="BH194" s="16">
        <f t="shared" si="195"/>
        <v>0</v>
      </c>
      <c r="BI194" s="16">
        <f t="shared" si="196"/>
        <v>0</v>
      </c>
      <c r="BJ194" s="16">
        <f t="shared" si="197"/>
        <v>0</v>
      </c>
    </row>
    <row r="195" spans="1:62" ht="12.75">
      <c r="A195" s="4" t="s">
        <v>163</v>
      </c>
      <c r="B195" s="4" t="s">
        <v>441</v>
      </c>
      <c r="C195" s="107" t="s">
        <v>751</v>
      </c>
      <c r="D195" s="108"/>
      <c r="E195" s="108"/>
      <c r="F195" s="4" t="s">
        <v>899</v>
      </c>
      <c r="G195" s="16">
        <v>15.6</v>
      </c>
      <c r="H195" s="16">
        <v>0</v>
      </c>
      <c r="I195" s="16">
        <f t="shared" si="176"/>
        <v>0</v>
      </c>
      <c r="J195" s="16">
        <f t="shared" si="177"/>
        <v>0</v>
      </c>
      <c r="K195" s="16">
        <f t="shared" si="178"/>
        <v>0</v>
      </c>
      <c r="L195" s="27" t="s">
        <v>922</v>
      </c>
      <c r="Z195" s="33">
        <f t="shared" si="179"/>
        <v>0</v>
      </c>
      <c r="AB195" s="33">
        <f t="shared" si="180"/>
        <v>0</v>
      </c>
      <c r="AC195" s="33">
        <f t="shared" si="181"/>
        <v>0</v>
      </c>
      <c r="AD195" s="33">
        <f t="shared" si="182"/>
        <v>0</v>
      </c>
      <c r="AE195" s="33">
        <f t="shared" si="183"/>
        <v>0</v>
      </c>
      <c r="AF195" s="33">
        <f t="shared" si="184"/>
        <v>0</v>
      </c>
      <c r="AG195" s="33">
        <f t="shared" si="185"/>
        <v>0</v>
      </c>
      <c r="AH195" s="33">
        <f t="shared" si="186"/>
        <v>0</v>
      </c>
      <c r="AI195" s="28"/>
      <c r="AJ195" s="16">
        <f t="shared" si="187"/>
        <v>0</v>
      </c>
      <c r="AK195" s="16">
        <f t="shared" si="188"/>
        <v>0</v>
      </c>
      <c r="AL195" s="16">
        <f t="shared" si="189"/>
        <v>0</v>
      </c>
      <c r="AN195" s="33">
        <v>21</v>
      </c>
      <c r="AO195" s="33">
        <f>H195*0.271182831993976</f>
        <v>0</v>
      </c>
      <c r="AP195" s="33">
        <f>H195*(1-0.271182831993976)</f>
        <v>0</v>
      </c>
      <c r="AQ195" s="27" t="s">
        <v>11</v>
      </c>
      <c r="AV195" s="33">
        <f t="shared" si="190"/>
        <v>0</v>
      </c>
      <c r="AW195" s="33">
        <f t="shared" si="191"/>
        <v>0</v>
      </c>
      <c r="AX195" s="33">
        <f t="shared" si="192"/>
        <v>0</v>
      </c>
      <c r="AY195" s="34" t="s">
        <v>962</v>
      </c>
      <c r="AZ195" s="34" t="s">
        <v>1002</v>
      </c>
      <c r="BA195" s="28" t="s">
        <v>1007</v>
      </c>
      <c r="BC195" s="33">
        <f t="shared" si="193"/>
        <v>0</v>
      </c>
      <c r="BD195" s="33">
        <f t="shared" si="194"/>
        <v>0</v>
      </c>
      <c r="BE195" s="33">
        <v>0</v>
      </c>
      <c r="BF195" s="33">
        <f>199</f>
        <v>199</v>
      </c>
      <c r="BH195" s="16">
        <f t="shared" si="195"/>
        <v>0</v>
      </c>
      <c r="BI195" s="16">
        <f t="shared" si="196"/>
        <v>0</v>
      </c>
      <c r="BJ195" s="16">
        <f t="shared" si="197"/>
        <v>0</v>
      </c>
    </row>
    <row r="196" spans="1:47" ht="12.75">
      <c r="A196" s="5"/>
      <c r="B196" s="13" t="s">
        <v>442</v>
      </c>
      <c r="C196" s="109" t="s">
        <v>752</v>
      </c>
      <c r="D196" s="110"/>
      <c r="E196" s="110"/>
      <c r="F196" s="5" t="s">
        <v>6</v>
      </c>
      <c r="G196" s="5" t="s">
        <v>6</v>
      </c>
      <c r="H196" s="5" t="s">
        <v>6</v>
      </c>
      <c r="I196" s="36">
        <f>SUM(I197:I202)</f>
        <v>0</v>
      </c>
      <c r="J196" s="36">
        <f>SUM(J197:J202)</f>
        <v>0</v>
      </c>
      <c r="K196" s="36">
        <f>SUM(K197:K202)</f>
        <v>0</v>
      </c>
      <c r="L196" s="28"/>
      <c r="AI196" s="28"/>
      <c r="AS196" s="36">
        <f>SUM(AJ197:AJ202)</f>
        <v>0</v>
      </c>
      <c r="AT196" s="36">
        <f>SUM(AK197:AK202)</f>
        <v>0</v>
      </c>
      <c r="AU196" s="36">
        <f>SUM(AL197:AL202)</f>
        <v>0</v>
      </c>
    </row>
    <row r="197" spans="1:62" ht="12.75">
      <c r="A197" s="4" t="s">
        <v>164</v>
      </c>
      <c r="B197" s="4" t="s">
        <v>443</v>
      </c>
      <c r="C197" s="107" t="s">
        <v>753</v>
      </c>
      <c r="D197" s="108"/>
      <c r="E197" s="108"/>
      <c r="F197" s="4" t="s">
        <v>896</v>
      </c>
      <c r="G197" s="16">
        <v>5</v>
      </c>
      <c r="H197" s="16">
        <v>0</v>
      </c>
      <c r="I197" s="16">
        <f aca="true" t="shared" si="198" ref="I197:I202">G197*AO197</f>
        <v>0</v>
      </c>
      <c r="J197" s="16">
        <f aca="true" t="shared" si="199" ref="J197:J202">G197*AP197</f>
        <v>0</v>
      </c>
      <c r="K197" s="16">
        <f aca="true" t="shared" si="200" ref="K197:K202">G197*H197</f>
        <v>0</v>
      </c>
      <c r="L197" s="27" t="s">
        <v>922</v>
      </c>
      <c r="Z197" s="33">
        <f aca="true" t="shared" si="201" ref="Z197:Z202">IF(AQ197="5",BJ197,0)</f>
        <v>0</v>
      </c>
      <c r="AB197" s="33">
        <f aca="true" t="shared" si="202" ref="AB197:AB202">IF(AQ197="1",BH197,0)</f>
        <v>0</v>
      </c>
      <c r="AC197" s="33">
        <f aca="true" t="shared" si="203" ref="AC197:AC202">IF(AQ197="1",BI197,0)</f>
        <v>0</v>
      </c>
      <c r="AD197" s="33">
        <f aca="true" t="shared" si="204" ref="AD197:AD202">IF(AQ197="7",BH197,0)</f>
        <v>0</v>
      </c>
      <c r="AE197" s="33">
        <f aca="true" t="shared" si="205" ref="AE197:AE202">IF(AQ197="7",BI197,0)</f>
        <v>0</v>
      </c>
      <c r="AF197" s="33">
        <f aca="true" t="shared" si="206" ref="AF197:AF202">IF(AQ197="2",BH197,0)</f>
        <v>0</v>
      </c>
      <c r="AG197" s="33">
        <f aca="true" t="shared" si="207" ref="AG197:AG202">IF(AQ197="2",BI197,0)</f>
        <v>0</v>
      </c>
      <c r="AH197" s="33">
        <f aca="true" t="shared" si="208" ref="AH197:AH202">IF(AQ197="0",BJ197,0)</f>
        <v>0</v>
      </c>
      <c r="AI197" s="28"/>
      <c r="AJ197" s="16">
        <f aca="true" t="shared" si="209" ref="AJ197:AJ202">IF(AN197=0,K197,0)</f>
        <v>0</v>
      </c>
      <c r="AK197" s="16">
        <f aca="true" t="shared" si="210" ref="AK197:AK202">IF(AN197=15,K197,0)</f>
        <v>0</v>
      </c>
      <c r="AL197" s="16">
        <f aca="true" t="shared" si="211" ref="AL197:AL202">IF(AN197=21,K197,0)</f>
        <v>0</v>
      </c>
      <c r="AN197" s="33">
        <v>21</v>
      </c>
      <c r="AO197" s="33">
        <f>H197*0.566234096692112</f>
        <v>0</v>
      </c>
      <c r="AP197" s="33">
        <f>H197*(1-0.566234096692112)</f>
        <v>0</v>
      </c>
      <c r="AQ197" s="27" t="s">
        <v>11</v>
      </c>
      <c r="AV197" s="33">
        <f aca="true" t="shared" si="212" ref="AV197:AV202">AW197+AX197</f>
        <v>0</v>
      </c>
      <c r="AW197" s="33">
        <f aca="true" t="shared" si="213" ref="AW197:AW202">G197*AO197</f>
        <v>0</v>
      </c>
      <c r="AX197" s="33">
        <f aca="true" t="shared" si="214" ref="AX197:AX202">G197*AP197</f>
        <v>0</v>
      </c>
      <c r="AY197" s="34" t="s">
        <v>963</v>
      </c>
      <c r="AZ197" s="34" t="s">
        <v>1002</v>
      </c>
      <c r="BA197" s="28" t="s">
        <v>1007</v>
      </c>
      <c r="BC197" s="33">
        <f aca="true" t="shared" si="215" ref="BC197:BC202">AW197+AX197</f>
        <v>0</v>
      </c>
      <c r="BD197" s="33">
        <f aca="true" t="shared" si="216" ref="BD197:BD202">H197/(100-BE197)*100</f>
        <v>0</v>
      </c>
      <c r="BE197" s="33">
        <v>0</v>
      </c>
      <c r="BF197" s="33">
        <f>201</f>
        <v>201</v>
      </c>
      <c r="BH197" s="16">
        <f aca="true" t="shared" si="217" ref="BH197:BH202">G197*AO197</f>
        <v>0</v>
      </c>
      <c r="BI197" s="16">
        <f aca="true" t="shared" si="218" ref="BI197:BI202">G197*AP197</f>
        <v>0</v>
      </c>
      <c r="BJ197" s="16">
        <f aca="true" t="shared" si="219" ref="BJ197:BJ202">G197*H197</f>
        <v>0</v>
      </c>
    </row>
    <row r="198" spans="1:62" ht="12.75">
      <c r="A198" s="4" t="s">
        <v>165</v>
      </c>
      <c r="B198" s="4" t="s">
        <v>444</v>
      </c>
      <c r="C198" s="107" t="s">
        <v>754</v>
      </c>
      <c r="D198" s="108"/>
      <c r="E198" s="108"/>
      <c r="F198" s="4" t="s">
        <v>896</v>
      </c>
      <c r="G198" s="16">
        <v>2</v>
      </c>
      <c r="H198" s="16">
        <v>0</v>
      </c>
      <c r="I198" s="16">
        <f t="shared" si="198"/>
        <v>0</v>
      </c>
      <c r="J198" s="16">
        <f t="shared" si="199"/>
        <v>0</v>
      </c>
      <c r="K198" s="16">
        <f t="shared" si="200"/>
        <v>0</v>
      </c>
      <c r="L198" s="27" t="s">
        <v>922</v>
      </c>
      <c r="Z198" s="33">
        <f t="shared" si="201"/>
        <v>0</v>
      </c>
      <c r="AB198" s="33">
        <f t="shared" si="202"/>
        <v>0</v>
      </c>
      <c r="AC198" s="33">
        <f t="shared" si="203"/>
        <v>0</v>
      </c>
      <c r="AD198" s="33">
        <f t="shared" si="204"/>
        <v>0</v>
      </c>
      <c r="AE198" s="33">
        <f t="shared" si="205"/>
        <v>0</v>
      </c>
      <c r="AF198" s="33">
        <f t="shared" si="206"/>
        <v>0</v>
      </c>
      <c r="AG198" s="33">
        <f t="shared" si="207"/>
        <v>0</v>
      </c>
      <c r="AH198" s="33">
        <f t="shared" si="208"/>
        <v>0</v>
      </c>
      <c r="AI198" s="28"/>
      <c r="AJ198" s="16">
        <f t="shared" si="209"/>
        <v>0</v>
      </c>
      <c r="AK198" s="16">
        <f t="shared" si="210"/>
        <v>0</v>
      </c>
      <c r="AL198" s="16">
        <f t="shared" si="211"/>
        <v>0</v>
      </c>
      <c r="AN198" s="33">
        <v>21</v>
      </c>
      <c r="AO198" s="33">
        <f>H198*0</f>
        <v>0</v>
      </c>
      <c r="AP198" s="33">
        <f>H198*(1-0)</f>
        <v>0</v>
      </c>
      <c r="AQ198" s="27" t="s">
        <v>11</v>
      </c>
      <c r="AV198" s="33">
        <f t="shared" si="212"/>
        <v>0</v>
      </c>
      <c r="AW198" s="33">
        <f t="shared" si="213"/>
        <v>0</v>
      </c>
      <c r="AX198" s="33">
        <f t="shared" si="214"/>
        <v>0</v>
      </c>
      <c r="AY198" s="34" t="s">
        <v>963</v>
      </c>
      <c r="AZ198" s="34" t="s">
        <v>1002</v>
      </c>
      <c r="BA198" s="28" t="s">
        <v>1007</v>
      </c>
      <c r="BC198" s="33">
        <f t="shared" si="215"/>
        <v>0</v>
      </c>
      <c r="BD198" s="33">
        <f t="shared" si="216"/>
        <v>0</v>
      </c>
      <c r="BE198" s="33">
        <v>0</v>
      </c>
      <c r="BF198" s="33">
        <f>202</f>
        <v>202</v>
      </c>
      <c r="BH198" s="16">
        <f t="shared" si="217"/>
        <v>0</v>
      </c>
      <c r="BI198" s="16">
        <f t="shared" si="218"/>
        <v>0</v>
      </c>
      <c r="BJ198" s="16">
        <f t="shared" si="219"/>
        <v>0</v>
      </c>
    </row>
    <row r="199" spans="1:62" ht="12.75">
      <c r="A199" s="6" t="s">
        <v>166</v>
      </c>
      <c r="B199" s="6" t="s">
        <v>445</v>
      </c>
      <c r="C199" s="111" t="s">
        <v>755</v>
      </c>
      <c r="D199" s="112"/>
      <c r="E199" s="112"/>
      <c r="F199" s="6" t="s">
        <v>896</v>
      </c>
      <c r="G199" s="17">
        <v>5</v>
      </c>
      <c r="H199" s="17">
        <v>0</v>
      </c>
      <c r="I199" s="17">
        <f t="shared" si="198"/>
        <v>0</v>
      </c>
      <c r="J199" s="17">
        <f t="shared" si="199"/>
        <v>0</v>
      </c>
      <c r="K199" s="17">
        <f t="shared" si="200"/>
        <v>0</v>
      </c>
      <c r="L199" s="29" t="s">
        <v>922</v>
      </c>
      <c r="Z199" s="33">
        <f t="shared" si="201"/>
        <v>0</v>
      </c>
      <c r="AB199" s="33">
        <f t="shared" si="202"/>
        <v>0</v>
      </c>
      <c r="AC199" s="33">
        <f t="shared" si="203"/>
        <v>0</v>
      </c>
      <c r="AD199" s="33">
        <f t="shared" si="204"/>
        <v>0</v>
      </c>
      <c r="AE199" s="33">
        <f t="shared" si="205"/>
        <v>0</v>
      </c>
      <c r="AF199" s="33">
        <f t="shared" si="206"/>
        <v>0</v>
      </c>
      <c r="AG199" s="33">
        <f t="shared" si="207"/>
        <v>0</v>
      </c>
      <c r="AH199" s="33">
        <f t="shared" si="208"/>
        <v>0</v>
      </c>
      <c r="AI199" s="28"/>
      <c r="AJ199" s="17">
        <f t="shared" si="209"/>
        <v>0</v>
      </c>
      <c r="AK199" s="17">
        <f t="shared" si="210"/>
        <v>0</v>
      </c>
      <c r="AL199" s="17">
        <f t="shared" si="211"/>
        <v>0</v>
      </c>
      <c r="AN199" s="33">
        <v>21</v>
      </c>
      <c r="AO199" s="33">
        <f>H199*1</f>
        <v>0</v>
      </c>
      <c r="AP199" s="33">
        <f>H199*(1-1)</f>
        <v>0</v>
      </c>
      <c r="AQ199" s="29" t="s">
        <v>11</v>
      </c>
      <c r="AV199" s="33">
        <f t="shared" si="212"/>
        <v>0</v>
      </c>
      <c r="AW199" s="33">
        <f t="shared" si="213"/>
        <v>0</v>
      </c>
      <c r="AX199" s="33">
        <f t="shared" si="214"/>
        <v>0</v>
      </c>
      <c r="AY199" s="34" t="s">
        <v>963</v>
      </c>
      <c r="AZ199" s="34" t="s">
        <v>1002</v>
      </c>
      <c r="BA199" s="28" t="s">
        <v>1007</v>
      </c>
      <c r="BC199" s="33">
        <f t="shared" si="215"/>
        <v>0</v>
      </c>
      <c r="BD199" s="33">
        <f t="shared" si="216"/>
        <v>0</v>
      </c>
      <c r="BE199" s="33">
        <v>0</v>
      </c>
      <c r="BF199" s="33">
        <f>203</f>
        <v>203</v>
      </c>
      <c r="BH199" s="17">
        <f t="shared" si="217"/>
        <v>0</v>
      </c>
      <c r="BI199" s="17">
        <f t="shared" si="218"/>
        <v>0</v>
      </c>
      <c r="BJ199" s="17">
        <f t="shared" si="219"/>
        <v>0</v>
      </c>
    </row>
    <row r="200" spans="1:62" ht="12.75">
      <c r="A200" s="6" t="s">
        <v>167</v>
      </c>
      <c r="B200" s="6" t="s">
        <v>446</v>
      </c>
      <c r="C200" s="111" t="s">
        <v>756</v>
      </c>
      <c r="D200" s="112"/>
      <c r="E200" s="112"/>
      <c r="F200" s="6" t="s">
        <v>896</v>
      </c>
      <c r="G200" s="17">
        <v>2</v>
      </c>
      <c r="H200" s="17">
        <v>0</v>
      </c>
      <c r="I200" s="17">
        <f t="shared" si="198"/>
        <v>0</v>
      </c>
      <c r="J200" s="17">
        <f t="shared" si="199"/>
        <v>0</v>
      </c>
      <c r="K200" s="17">
        <f t="shared" si="200"/>
        <v>0</v>
      </c>
      <c r="L200" s="29" t="s">
        <v>922</v>
      </c>
      <c r="Z200" s="33">
        <f t="shared" si="201"/>
        <v>0</v>
      </c>
      <c r="AB200" s="33">
        <f t="shared" si="202"/>
        <v>0</v>
      </c>
      <c r="AC200" s="33">
        <f t="shared" si="203"/>
        <v>0</v>
      </c>
      <c r="AD200" s="33">
        <f t="shared" si="204"/>
        <v>0</v>
      </c>
      <c r="AE200" s="33">
        <f t="shared" si="205"/>
        <v>0</v>
      </c>
      <c r="AF200" s="33">
        <f t="shared" si="206"/>
        <v>0</v>
      </c>
      <c r="AG200" s="33">
        <f t="shared" si="207"/>
        <v>0</v>
      </c>
      <c r="AH200" s="33">
        <f t="shared" si="208"/>
        <v>0</v>
      </c>
      <c r="AI200" s="28"/>
      <c r="AJ200" s="17">
        <f t="shared" si="209"/>
        <v>0</v>
      </c>
      <c r="AK200" s="17">
        <f t="shared" si="210"/>
        <v>0</v>
      </c>
      <c r="AL200" s="17">
        <f t="shared" si="211"/>
        <v>0</v>
      </c>
      <c r="AN200" s="33">
        <v>21</v>
      </c>
      <c r="AO200" s="33">
        <f>H200*1</f>
        <v>0</v>
      </c>
      <c r="AP200" s="33">
        <f>H200*(1-1)</f>
        <v>0</v>
      </c>
      <c r="AQ200" s="29" t="s">
        <v>11</v>
      </c>
      <c r="AV200" s="33">
        <f t="shared" si="212"/>
        <v>0</v>
      </c>
      <c r="AW200" s="33">
        <f t="shared" si="213"/>
        <v>0</v>
      </c>
      <c r="AX200" s="33">
        <f t="shared" si="214"/>
        <v>0</v>
      </c>
      <c r="AY200" s="34" t="s">
        <v>963</v>
      </c>
      <c r="AZ200" s="34" t="s">
        <v>1002</v>
      </c>
      <c r="BA200" s="28" t="s">
        <v>1007</v>
      </c>
      <c r="BC200" s="33">
        <f t="shared" si="215"/>
        <v>0</v>
      </c>
      <c r="BD200" s="33">
        <f t="shared" si="216"/>
        <v>0</v>
      </c>
      <c r="BE200" s="33">
        <v>0</v>
      </c>
      <c r="BF200" s="33">
        <f>204</f>
        <v>204</v>
      </c>
      <c r="BH200" s="17">
        <f t="shared" si="217"/>
        <v>0</v>
      </c>
      <c r="BI200" s="17">
        <f t="shared" si="218"/>
        <v>0</v>
      </c>
      <c r="BJ200" s="17">
        <f t="shared" si="219"/>
        <v>0</v>
      </c>
    </row>
    <row r="201" spans="1:62" ht="12.75">
      <c r="A201" s="4" t="s">
        <v>168</v>
      </c>
      <c r="B201" s="4" t="s">
        <v>447</v>
      </c>
      <c r="C201" s="107" t="s">
        <v>757</v>
      </c>
      <c r="D201" s="108"/>
      <c r="E201" s="108"/>
      <c r="F201" s="4" t="s">
        <v>895</v>
      </c>
      <c r="G201" s="16">
        <v>25.11124</v>
      </c>
      <c r="H201" s="16">
        <v>0</v>
      </c>
      <c r="I201" s="16">
        <f t="shared" si="198"/>
        <v>0</v>
      </c>
      <c r="J201" s="16">
        <f t="shared" si="199"/>
        <v>0</v>
      </c>
      <c r="K201" s="16">
        <f t="shared" si="200"/>
        <v>0</v>
      </c>
      <c r="L201" s="27" t="s">
        <v>922</v>
      </c>
      <c r="Z201" s="33">
        <f t="shared" si="201"/>
        <v>0</v>
      </c>
      <c r="AB201" s="33">
        <f t="shared" si="202"/>
        <v>0</v>
      </c>
      <c r="AC201" s="33">
        <f t="shared" si="203"/>
        <v>0</v>
      </c>
      <c r="AD201" s="33">
        <f t="shared" si="204"/>
        <v>0</v>
      </c>
      <c r="AE201" s="33">
        <f t="shared" si="205"/>
        <v>0</v>
      </c>
      <c r="AF201" s="33">
        <f t="shared" si="206"/>
        <v>0</v>
      </c>
      <c r="AG201" s="33">
        <f t="shared" si="207"/>
        <v>0</v>
      </c>
      <c r="AH201" s="33">
        <f t="shared" si="208"/>
        <v>0</v>
      </c>
      <c r="AI201" s="28"/>
      <c r="AJ201" s="16">
        <f t="shared" si="209"/>
        <v>0</v>
      </c>
      <c r="AK201" s="16">
        <f t="shared" si="210"/>
        <v>0</v>
      </c>
      <c r="AL201" s="16">
        <f t="shared" si="211"/>
        <v>0</v>
      </c>
      <c r="AN201" s="33">
        <v>21</v>
      </c>
      <c r="AO201" s="33">
        <f>H201*0.0230097181085578</f>
        <v>0</v>
      </c>
      <c r="AP201" s="33">
        <f>H201*(1-0.0230097181085578)</f>
        <v>0</v>
      </c>
      <c r="AQ201" s="27" t="s">
        <v>11</v>
      </c>
      <c r="AV201" s="33">
        <f t="shared" si="212"/>
        <v>0</v>
      </c>
      <c r="AW201" s="33">
        <f t="shared" si="213"/>
        <v>0</v>
      </c>
      <c r="AX201" s="33">
        <f t="shared" si="214"/>
        <v>0</v>
      </c>
      <c r="AY201" s="34" t="s">
        <v>963</v>
      </c>
      <c r="AZ201" s="34" t="s">
        <v>1002</v>
      </c>
      <c r="BA201" s="28" t="s">
        <v>1007</v>
      </c>
      <c r="BC201" s="33">
        <f t="shared" si="215"/>
        <v>0</v>
      </c>
      <c r="BD201" s="33">
        <f t="shared" si="216"/>
        <v>0</v>
      </c>
      <c r="BE201" s="33">
        <v>0</v>
      </c>
      <c r="BF201" s="33">
        <f>205</f>
        <v>205</v>
      </c>
      <c r="BH201" s="16">
        <f t="shared" si="217"/>
        <v>0</v>
      </c>
      <c r="BI201" s="16">
        <f t="shared" si="218"/>
        <v>0</v>
      </c>
      <c r="BJ201" s="16">
        <f t="shared" si="219"/>
        <v>0</v>
      </c>
    </row>
    <row r="202" spans="1:62" ht="12.75">
      <c r="A202" s="4" t="s">
        <v>169</v>
      </c>
      <c r="B202" s="4" t="s">
        <v>448</v>
      </c>
      <c r="C202" s="107" t="s">
        <v>758</v>
      </c>
      <c r="D202" s="108"/>
      <c r="E202" s="108"/>
      <c r="F202" s="4" t="s">
        <v>895</v>
      </c>
      <c r="G202" s="16">
        <v>16.209</v>
      </c>
      <c r="H202" s="16">
        <v>0</v>
      </c>
      <c r="I202" s="16">
        <f t="shared" si="198"/>
        <v>0</v>
      </c>
      <c r="J202" s="16">
        <f t="shared" si="199"/>
        <v>0</v>
      </c>
      <c r="K202" s="16">
        <f t="shared" si="200"/>
        <v>0</v>
      </c>
      <c r="L202" s="27" t="s">
        <v>922</v>
      </c>
      <c r="Z202" s="33">
        <f t="shared" si="201"/>
        <v>0</v>
      </c>
      <c r="AB202" s="33">
        <f t="shared" si="202"/>
        <v>0</v>
      </c>
      <c r="AC202" s="33">
        <f t="shared" si="203"/>
        <v>0</v>
      </c>
      <c r="AD202" s="33">
        <f t="shared" si="204"/>
        <v>0</v>
      </c>
      <c r="AE202" s="33">
        <f t="shared" si="205"/>
        <v>0</v>
      </c>
      <c r="AF202" s="33">
        <f t="shared" si="206"/>
        <v>0</v>
      </c>
      <c r="AG202" s="33">
        <f t="shared" si="207"/>
        <v>0</v>
      </c>
      <c r="AH202" s="33">
        <f t="shared" si="208"/>
        <v>0</v>
      </c>
      <c r="AI202" s="28"/>
      <c r="AJ202" s="16">
        <f t="shared" si="209"/>
        <v>0</v>
      </c>
      <c r="AK202" s="16">
        <f t="shared" si="210"/>
        <v>0</v>
      </c>
      <c r="AL202" s="16">
        <f t="shared" si="211"/>
        <v>0</v>
      </c>
      <c r="AN202" s="33">
        <v>21</v>
      </c>
      <c r="AO202" s="33">
        <f>H202*0.0109347068776749</f>
        <v>0</v>
      </c>
      <c r="AP202" s="33">
        <f>H202*(1-0.0109347068776749)</f>
        <v>0</v>
      </c>
      <c r="AQ202" s="27" t="s">
        <v>11</v>
      </c>
      <c r="AV202" s="33">
        <f t="shared" si="212"/>
        <v>0</v>
      </c>
      <c r="AW202" s="33">
        <f t="shared" si="213"/>
        <v>0</v>
      </c>
      <c r="AX202" s="33">
        <f t="shared" si="214"/>
        <v>0</v>
      </c>
      <c r="AY202" s="34" t="s">
        <v>963</v>
      </c>
      <c r="AZ202" s="34" t="s">
        <v>1002</v>
      </c>
      <c r="BA202" s="28" t="s">
        <v>1007</v>
      </c>
      <c r="BC202" s="33">
        <f t="shared" si="215"/>
        <v>0</v>
      </c>
      <c r="BD202" s="33">
        <f t="shared" si="216"/>
        <v>0</v>
      </c>
      <c r="BE202" s="33">
        <v>0</v>
      </c>
      <c r="BF202" s="33">
        <f>206</f>
        <v>206</v>
      </c>
      <c r="BH202" s="16">
        <f t="shared" si="217"/>
        <v>0</v>
      </c>
      <c r="BI202" s="16">
        <f t="shared" si="218"/>
        <v>0</v>
      </c>
      <c r="BJ202" s="16">
        <f t="shared" si="219"/>
        <v>0</v>
      </c>
    </row>
    <row r="203" spans="1:47" ht="12.75">
      <c r="A203" s="5"/>
      <c r="B203" s="13" t="s">
        <v>449</v>
      </c>
      <c r="C203" s="109" t="s">
        <v>759</v>
      </c>
      <c r="D203" s="110"/>
      <c r="E203" s="110"/>
      <c r="F203" s="5" t="s">
        <v>6</v>
      </c>
      <c r="G203" s="5" t="s">
        <v>6</v>
      </c>
      <c r="H203" s="5" t="s">
        <v>6</v>
      </c>
      <c r="I203" s="36">
        <f>SUM(I204:I210)</f>
        <v>0</v>
      </c>
      <c r="J203" s="36">
        <f>SUM(J204:J210)</f>
        <v>0</v>
      </c>
      <c r="K203" s="36">
        <f>SUM(K204:K210)</f>
        <v>0</v>
      </c>
      <c r="L203" s="28"/>
      <c r="AI203" s="28"/>
      <c r="AS203" s="36">
        <f>SUM(AJ204:AJ210)</f>
        <v>0</v>
      </c>
      <c r="AT203" s="36">
        <f>SUM(AK204:AK210)</f>
        <v>0</v>
      </c>
      <c r="AU203" s="36">
        <f>SUM(AL204:AL210)</f>
        <v>0</v>
      </c>
    </row>
    <row r="204" spans="1:62" ht="12.75">
      <c r="A204" s="4" t="s">
        <v>170</v>
      </c>
      <c r="B204" s="4" t="s">
        <v>450</v>
      </c>
      <c r="C204" s="107" t="s">
        <v>760</v>
      </c>
      <c r="D204" s="108"/>
      <c r="E204" s="108"/>
      <c r="F204" s="4" t="s">
        <v>893</v>
      </c>
      <c r="G204" s="16">
        <v>150</v>
      </c>
      <c r="H204" s="16">
        <v>0</v>
      </c>
      <c r="I204" s="16">
        <f aca="true" t="shared" si="220" ref="I204:I210">G204*AO204</f>
        <v>0</v>
      </c>
      <c r="J204" s="16">
        <f aca="true" t="shared" si="221" ref="J204:J210">G204*AP204</f>
        <v>0</v>
      </c>
      <c r="K204" s="16">
        <f aca="true" t="shared" si="222" ref="K204:K210">G204*H204</f>
        <v>0</v>
      </c>
      <c r="L204" s="27" t="s">
        <v>922</v>
      </c>
      <c r="Z204" s="33">
        <f aca="true" t="shared" si="223" ref="Z204:Z210">IF(AQ204="5",BJ204,0)</f>
        <v>0</v>
      </c>
      <c r="AB204" s="33">
        <f aca="true" t="shared" si="224" ref="AB204:AB210">IF(AQ204="1",BH204,0)</f>
        <v>0</v>
      </c>
      <c r="AC204" s="33">
        <f aca="true" t="shared" si="225" ref="AC204:AC210">IF(AQ204="1",BI204,0)</f>
        <v>0</v>
      </c>
      <c r="AD204" s="33">
        <f aca="true" t="shared" si="226" ref="AD204:AD210">IF(AQ204="7",BH204,0)</f>
        <v>0</v>
      </c>
      <c r="AE204" s="33">
        <f aca="true" t="shared" si="227" ref="AE204:AE210">IF(AQ204="7",BI204,0)</f>
        <v>0</v>
      </c>
      <c r="AF204" s="33">
        <f aca="true" t="shared" si="228" ref="AF204:AF210">IF(AQ204="2",BH204,0)</f>
        <v>0</v>
      </c>
      <c r="AG204" s="33">
        <f aca="true" t="shared" si="229" ref="AG204:AG210">IF(AQ204="2",BI204,0)</f>
        <v>0</v>
      </c>
      <c r="AH204" s="33">
        <f aca="true" t="shared" si="230" ref="AH204:AH210">IF(AQ204="0",BJ204,0)</f>
        <v>0</v>
      </c>
      <c r="AI204" s="28"/>
      <c r="AJ204" s="16">
        <f aca="true" t="shared" si="231" ref="AJ204:AJ210">IF(AN204=0,K204,0)</f>
        <v>0</v>
      </c>
      <c r="AK204" s="16">
        <f aca="true" t="shared" si="232" ref="AK204:AK210">IF(AN204=15,K204,0)</f>
        <v>0</v>
      </c>
      <c r="AL204" s="16">
        <f aca="true" t="shared" si="233" ref="AL204:AL210">IF(AN204=21,K204,0)</f>
        <v>0</v>
      </c>
      <c r="AN204" s="33">
        <v>21</v>
      </c>
      <c r="AO204" s="33">
        <f>H204*0.0746531170607778</f>
        <v>0</v>
      </c>
      <c r="AP204" s="33">
        <f>H204*(1-0.0746531170607778)</f>
        <v>0</v>
      </c>
      <c r="AQ204" s="27" t="s">
        <v>11</v>
      </c>
      <c r="AV204" s="33">
        <f aca="true" t="shared" si="234" ref="AV204:AV210">AW204+AX204</f>
        <v>0</v>
      </c>
      <c r="AW204" s="33">
        <f aca="true" t="shared" si="235" ref="AW204:AW210">G204*AO204</f>
        <v>0</v>
      </c>
      <c r="AX204" s="33">
        <f aca="true" t="shared" si="236" ref="AX204:AX210">G204*AP204</f>
        <v>0</v>
      </c>
      <c r="AY204" s="34" t="s">
        <v>964</v>
      </c>
      <c r="AZ204" s="34" t="s">
        <v>1002</v>
      </c>
      <c r="BA204" s="28" t="s">
        <v>1007</v>
      </c>
      <c r="BC204" s="33">
        <f aca="true" t="shared" si="237" ref="BC204:BC210">AW204+AX204</f>
        <v>0</v>
      </c>
      <c r="BD204" s="33">
        <f aca="true" t="shared" si="238" ref="BD204:BD210">H204/(100-BE204)*100</f>
        <v>0</v>
      </c>
      <c r="BE204" s="33">
        <v>0</v>
      </c>
      <c r="BF204" s="33">
        <f>208</f>
        <v>208</v>
      </c>
      <c r="BH204" s="16">
        <f aca="true" t="shared" si="239" ref="BH204:BH210">G204*AO204</f>
        <v>0</v>
      </c>
      <c r="BI204" s="16">
        <f aca="true" t="shared" si="240" ref="BI204:BI210">G204*AP204</f>
        <v>0</v>
      </c>
      <c r="BJ204" s="16">
        <f aca="true" t="shared" si="241" ref="BJ204:BJ210">G204*H204</f>
        <v>0</v>
      </c>
    </row>
    <row r="205" spans="1:62" ht="12.75">
      <c r="A205" s="6" t="s">
        <v>171</v>
      </c>
      <c r="B205" s="6" t="s">
        <v>451</v>
      </c>
      <c r="C205" s="111" t="s">
        <v>761</v>
      </c>
      <c r="D205" s="112"/>
      <c r="E205" s="112"/>
      <c r="F205" s="6" t="s">
        <v>896</v>
      </c>
      <c r="G205" s="17">
        <v>3</v>
      </c>
      <c r="H205" s="17">
        <v>0</v>
      </c>
      <c r="I205" s="17">
        <f t="shared" si="220"/>
        <v>0</v>
      </c>
      <c r="J205" s="17">
        <f t="shared" si="221"/>
        <v>0</v>
      </c>
      <c r="K205" s="17">
        <f t="shared" si="222"/>
        <v>0</v>
      </c>
      <c r="L205" s="29" t="s">
        <v>922</v>
      </c>
      <c r="Z205" s="33">
        <f t="shared" si="223"/>
        <v>0</v>
      </c>
      <c r="AB205" s="33">
        <f t="shared" si="224"/>
        <v>0</v>
      </c>
      <c r="AC205" s="33">
        <f t="shared" si="225"/>
        <v>0</v>
      </c>
      <c r="AD205" s="33">
        <f t="shared" si="226"/>
        <v>0</v>
      </c>
      <c r="AE205" s="33">
        <f t="shared" si="227"/>
        <v>0</v>
      </c>
      <c r="AF205" s="33">
        <f t="shared" si="228"/>
        <v>0</v>
      </c>
      <c r="AG205" s="33">
        <f t="shared" si="229"/>
        <v>0</v>
      </c>
      <c r="AH205" s="33">
        <f t="shared" si="230"/>
        <v>0</v>
      </c>
      <c r="AI205" s="28"/>
      <c r="AJ205" s="17">
        <f t="shared" si="231"/>
        <v>0</v>
      </c>
      <c r="AK205" s="17">
        <f t="shared" si="232"/>
        <v>0</v>
      </c>
      <c r="AL205" s="17">
        <f t="shared" si="233"/>
        <v>0</v>
      </c>
      <c r="AN205" s="33">
        <v>21</v>
      </c>
      <c r="AO205" s="33">
        <f>H205*1</f>
        <v>0</v>
      </c>
      <c r="AP205" s="33">
        <f>H205*(1-1)</f>
        <v>0</v>
      </c>
      <c r="AQ205" s="29" t="s">
        <v>11</v>
      </c>
      <c r="AV205" s="33">
        <f t="shared" si="234"/>
        <v>0</v>
      </c>
      <c r="AW205" s="33">
        <f t="shared" si="235"/>
        <v>0</v>
      </c>
      <c r="AX205" s="33">
        <f t="shared" si="236"/>
        <v>0</v>
      </c>
      <c r="AY205" s="34" t="s">
        <v>964</v>
      </c>
      <c r="AZ205" s="34" t="s">
        <v>1002</v>
      </c>
      <c r="BA205" s="28" t="s">
        <v>1007</v>
      </c>
      <c r="BC205" s="33">
        <f t="shared" si="237"/>
        <v>0</v>
      </c>
      <c r="BD205" s="33">
        <f t="shared" si="238"/>
        <v>0</v>
      </c>
      <c r="BE205" s="33">
        <v>0</v>
      </c>
      <c r="BF205" s="33">
        <f>209</f>
        <v>209</v>
      </c>
      <c r="BH205" s="17">
        <f t="shared" si="239"/>
        <v>0</v>
      </c>
      <c r="BI205" s="17">
        <f t="shared" si="240"/>
        <v>0</v>
      </c>
      <c r="BJ205" s="17">
        <f t="shared" si="241"/>
        <v>0</v>
      </c>
    </row>
    <row r="206" spans="1:62" ht="12.75">
      <c r="A206" s="4" t="s">
        <v>172</v>
      </c>
      <c r="B206" s="4" t="s">
        <v>452</v>
      </c>
      <c r="C206" s="107" t="s">
        <v>762</v>
      </c>
      <c r="D206" s="108"/>
      <c r="E206" s="108"/>
      <c r="F206" s="4" t="s">
        <v>893</v>
      </c>
      <c r="G206" s="16">
        <v>668.68</v>
      </c>
      <c r="H206" s="16">
        <v>0</v>
      </c>
      <c r="I206" s="16">
        <f t="shared" si="220"/>
        <v>0</v>
      </c>
      <c r="J206" s="16">
        <f t="shared" si="221"/>
        <v>0</v>
      </c>
      <c r="K206" s="16">
        <f t="shared" si="222"/>
        <v>0</v>
      </c>
      <c r="L206" s="27" t="s">
        <v>922</v>
      </c>
      <c r="Z206" s="33">
        <f t="shared" si="223"/>
        <v>0</v>
      </c>
      <c r="AB206" s="33">
        <f t="shared" si="224"/>
        <v>0</v>
      </c>
      <c r="AC206" s="33">
        <f t="shared" si="225"/>
        <v>0</v>
      </c>
      <c r="AD206" s="33">
        <f t="shared" si="226"/>
        <v>0</v>
      </c>
      <c r="AE206" s="33">
        <f t="shared" si="227"/>
        <v>0</v>
      </c>
      <c r="AF206" s="33">
        <f t="shared" si="228"/>
        <v>0</v>
      </c>
      <c r="AG206" s="33">
        <f t="shared" si="229"/>
        <v>0</v>
      </c>
      <c r="AH206" s="33">
        <f t="shared" si="230"/>
        <v>0</v>
      </c>
      <c r="AI206" s="28"/>
      <c r="AJ206" s="16">
        <f t="shared" si="231"/>
        <v>0</v>
      </c>
      <c r="AK206" s="16">
        <f t="shared" si="232"/>
        <v>0</v>
      </c>
      <c r="AL206" s="16">
        <f t="shared" si="233"/>
        <v>0</v>
      </c>
      <c r="AN206" s="33">
        <v>21</v>
      </c>
      <c r="AO206" s="33">
        <f>H206*0.0915929203539823</f>
        <v>0</v>
      </c>
      <c r="AP206" s="33">
        <f>H206*(1-0.0915929203539823)</f>
        <v>0</v>
      </c>
      <c r="AQ206" s="27" t="s">
        <v>11</v>
      </c>
      <c r="AV206" s="33">
        <f t="shared" si="234"/>
        <v>0</v>
      </c>
      <c r="AW206" s="33">
        <f t="shared" si="235"/>
        <v>0</v>
      </c>
      <c r="AX206" s="33">
        <f t="shared" si="236"/>
        <v>0</v>
      </c>
      <c r="AY206" s="34" t="s">
        <v>964</v>
      </c>
      <c r="AZ206" s="34" t="s">
        <v>1002</v>
      </c>
      <c r="BA206" s="28" t="s">
        <v>1007</v>
      </c>
      <c r="BC206" s="33">
        <f t="shared" si="237"/>
        <v>0</v>
      </c>
      <c r="BD206" s="33">
        <f t="shared" si="238"/>
        <v>0</v>
      </c>
      <c r="BE206" s="33">
        <v>0</v>
      </c>
      <c r="BF206" s="33">
        <f>210</f>
        <v>210</v>
      </c>
      <c r="BH206" s="16">
        <f t="shared" si="239"/>
        <v>0</v>
      </c>
      <c r="BI206" s="16">
        <f t="shared" si="240"/>
        <v>0</v>
      </c>
      <c r="BJ206" s="16">
        <f t="shared" si="241"/>
        <v>0</v>
      </c>
    </row>
    <row r="207" spans="1:62" ht="12.75">
      <c r="A207" s="6" t="s">
        <v>173</v>
      </c>
      <c r="B207" s="6" t="s">
        <v>453</v>
      </c>
      <c r="C207" s="111" t="s">
        <v>763</v>
      </c>
      <c r="D207" s="112"/>
      <c r="E207" s="112"/>
      <c r="F207" s="6" t="s">
        <v>898</v>
      </c>
      <c r="G207" s="17">
        <v>0.44086</v>
      </c>
      <c r="H207" s="17">
        <v>0</v>
      </c>
      <c r="I207" s="17">
        <f t="shared" si="220"/>
        <v>0</v>
      </c>
      <c r="J207" s="17">
        <f t="shared" si="221"/>
        <v>0</v>
      </c>
      <c r="K207" s="17">
        <f t="shared" si="222"/>
        <v>0</v>
      </c>
      <c r="L207" s="29" t="s">
        <v>921</v>
      </c>
      <c r="Z207" s="33">
        <f t="shared" si="223"/>
        <v>0</v>
      </c>
      <c r="AB207" s="33">
        <f t="shared" si="224"/>
        <v>0</v>
      </c>
      <c r="AC207" s="33">
        <f t="shared" si="225"/>
        <v>0</v>
      </c>
      <c r="AD207" s="33">
        <f t="shared" si="226"/>
        <v>0</v>
      </c>
      <c r="AE207" s="33">
        <f t="shared" si="227"/>
        <v>0</v>
      </c>
      <c r="AF207" s="33">
        <f t="shared" si="228"/>
        <v>0</v>
      </c>
      <c r="AG207" s="33">
        <f t="shared" si="229"/>
        <v>0</v>
      </c>
      <c r="AH207" s="33">
        <f t="shared" si="230"/>
        <v>0</v>
      </c>
      <c r="AI207" s="28"/>
      <c r="AJ207" s="17">
        <f t="shared" si="231"/>
        <v>0</v>
      </c>
      <c r="AK207" s="17">
        <f t="shared" si="232"/>
        <v>0</v>
      </c>
      <c r="AL207" s="17">
        <f t="shared" si="233"/>
        <v>0</v>
      </c>
      <c r="AN207" s="33">
        <v>21</v>
      </c>
      <c r="AO207" s="33">
        <f>H207*1</f>
        <v>0</v>
      </c>
      <c r="AP207" s="33">
        <f>H207*(1-1)</f>
        <v>0</v>
      </c>
      <c r="AQ207" s="29" t="s">
        <v>11</v>
      </c>
      <c r="AV207" s="33">
        <f t="shared" si="234"/>
        <v>0</v>
      </c>
      <c r="AW207" s="33">
        <f t="shared" si="235"/>
        <v>0</v>
      </c>
      <c r="AX207" s="33">
        <f t="shared" si="236"/>
        <v>0</v>
      </c>
      <c r="AY207" s="34" t="s">
        <v>964</v>
      </c>
      <c r="AZ207" s="34" t="s">
        <v>1002</v>
      </c>
      <c r="BA207" s="28" t="s">
        <v>1007</v>
      </c>
      <c r="BC207" s="33">
        <f t="shared" si="237"/>
        <v>0</v>
      </c>
      <c r="BD207" s="33">
        <f t="shared" si="238"/>
        <v>0</v>
      </c>
      <c r="BE207" s="33">
        <v>0</v>
      </c>
      <c r="BF207" s="33">
        <f>211</f>
        <v>211</v>
      </c>
      <c r="BH207" s="17">
        <f t="shared" si="239"/>
        <v>0</v>
      </c>
      <c r="BI207" s="17">
        <f t="shared" si="240"/>
        <v>0</v>
      </c>
      <c r="BJ207" s="17">
        <f t="shared" si="241"/>
        <v>0</v>
      </c>
    </row>
    <row r="208" spans="1:62" ht="12.75">
      <c r="A208" s="6" t="s">
        <v>174</v>
      </c>
      <c r="B208" s="6" t="s">
        <v>454</v>
      </c>
      <c r="C208" s="111" t="s">
        <v>764</v>
      </c>
      <c r="D208" s="112"/>
      <c r="E208" s="112"/>
      <c r="F208" s="6" t="s">
        <v>898</v>
      </c>
      <c r="G208" s="17">
        <v>0.10174</v>
      </c>
      <c r="H208" s="17">
        <v>0</v>
      </c>
      <c r="I208" s="17">
        <f t="shared" si="220"/>
        <v>0</v>
      </c>
      <c r="J208" s="17">
        <f t="shared" si="221"/>
        <v>0</v>
      </c>
      <c r="K208" s="17">
        <f t="shared" si="222"/>
        <v>0</v>
      </c>
      <c r="L208" s="29" t="s">
        <v>921</v>
      </c>
      <c r="Z208" s="33">
        <f t="shared" si="223"/>
        <v>0</v>
      </c>
      <c r="AB208" s="33">
        <f t="shared" si="224"/>
        <v>0</v>
      </c>
      <c r="AC208" s="33">
        <f t="shared" si="225"/>
        <v>0</v>
      </c>
      <c r="AD208" s="33">
        <f t="shared" si="226"/>
        <v>0</v>
      </c>
      <c r="AE208" s="33">
        <f t="shared" si="227"/>
        <v>0</v>
      </c>
      <c r="AF208" s="33">
        <f t="shared" si="228"/>
        <v>0</v>
      </c>
      <c r="AG208" s="33">
        <f t="shared" si="229"/>
        <v>0</v>
      </c>
      <c r="AH208" s="33">
        <f t="shared" si="230"/>
        <v>0</v>
      </c>
      <c r="AI208" s="28"/>
      <c r="AJ208" s="17">
        <f t="shared" si="231"/>
        <v>0</v>
      </c>
      <c r="AK208" s="17">
        <f t="shared" si="232"/>
        <v>0</v>
      </c>
      <c r="AL208" s="17">
        <f t="shared" si="233"/>
        <v>0</v>
      </c>
      <c r="AN208" s="33">
        <v>21</v>
      </c>
      <c r="AO208" s="33">
        <f>H208*1</f>
        <v>0</v>
      </c>
      <c r="AP208" s="33">
        <f>H208*(1-1)</f>
        <v>0</v>
      </c>
      <c r="AQ208" s="29" t="s">
        <v>11</v>
      </c>
      <c r="AV208" s="33">
        <f t="shared" si="234"/>
        <v>0</v>
      </c>
      <c r="AW208" s="33">
        <f t="shared" si="235"/>
        <v>0</v>
      </c>
      <c r="AX208" s="33">
        <f t="shared" si="236"/>
        <v>0</v>
      </c>
      <c r="AY208" s="34" t="s">
        <v>964</v>
      </c>
      <c r="AZ208" s="34" t="s">
        <v>1002</v>
      </c>
      <c r="BA208" s="28" t="s">
        <v>1007</v>
      </c>
      <c r="BC208" s="33">
        <f t="shared" si="237"/>
        <v>0</v>
      </c>
      <c r="BD208" s="33">
        <f t="shared" si="238"/>
        <v>0</v>
      </c>
      <c r="BE208" s="33">
        <v>0</v>
      </c>
      <c r="BF208" s="33">
        <f>212</f>
        <v>212</v>
      </c>
      <c r="BH208" s="17">
        <f t="shared" si="239"/>
        <v>0</v>
      </c>
      <c r="BI208" s="17">
        <f t="shared" si="240"/>
        <v>0</v>
      </c>
      <c r="BJ208" s="17">
        <f t="shared" si="241"/>
        <v>0</v>
      </c>
    </row>
    <row r="209" spans="1:62" ht="12.75">
      <c r="A209" s="6" t="s">
        <v>175</v>
      </c>
      <c r="B209" s="6" t="s">
        <v>455</v>
      </c>
      <c r="C209" s="111" t="s">
        <v>765</v>
      </c>
      <c r="D209" s="112"/>
      <c r="E209" s="112"/>
      <c r="F209" s="6" t="s">
        <v>898</v>
      </c>
      <c r="G209" s="17">
        <v>0.12608</v>
      </c>
      <c r="H209" s="17">
        <v>0</v>
      </c>
      <c r="I209" s="17">
        <f t="shared" si="220"/>
        <v>0</v>
      </c>
      <c r="J209" s="17">
        <f t="shared" si="221"/>
        <v>0</v>
      </c>
      <c r="K209" s="17">
        <f t="shared" si="222"/>
        <v>0</v>
      </c>
      <c r="L209" s="29" t="s">
        <v>921</v>
      </c>
      <c r="Z209" s="33">
        <f t="shared" si="223"/>
        <v>0</v>
      </c>
      <c r="AB209" s="33">
        <f t="shared" si="224"/>
        <v>0</v>
      </c>
      <c r="AC209" s="33">
        <f t="shared" si="225"/>
        <v>0</v>
      </c>
      <c r="AD209" s="33">
        <f t="shared" si="226"/>
        <v>0</v>
      </c>
      <c r="AE209" s="33">
        <f t="shared" si="227"/>
        <v>0</v>
      </c>
      <c r="AF209" s="33">
        <f t="shared" si="228"/>
        <v>0</v>
      </c>
      <c r="AG209" s="33">
        <f t="shared" si="229"/>
        <v>0</v>
      </c>
      <c r="AH209" s="33">
        <f t="shared" si="230"/>
        <v>0</v>
      </c>
      <c r="AI209" s="28"/>
      <c r="AJ209" s="17">
        <f t="shared" si="231"/>
        <v>0</v>
      </c>
      <c r="AK209" s="17">
        <f t="shared" si="232"/>
        <v>0</v>
      </c>
      <c r="AL209" s="17">
        <f t="shared" si="233"/>
        <v>0</v>
      </c>
      <c r="AN209" s="33">
        <v>21</v>
      </c>
      <c r="AO209" s="33">
        <f>H209*1</f>
        <v>0</v>
      </c>
      <c r="AP209" s="33">
        <f>H209*(1-1)</f>
        <v>0</v>
      </c>
      <c r="AQ209" s="29" t="s">
        <v>11</v>
      </c>
      <c r="AV209" s="33">
        <f t="shared" si="234"/>
        <v>0</v>
      </c>
      <c r="AW209" s="33">
        <f t="shared" si="235"/>
        <v>0</v>
      </c>
      <c r="AX209" s="33">
        <f t="shared" si="236"/>
        <v>0</v>
      </c>
      <c r="AY209" s="34" t="s">
        <v>964</v>
      </c>
      <c r="AZ209" s="34" t="s">
        <v>1002</v>
      </c>
      <c r="BA209" s="28" t="s">
        <v>1007</v>
      </c>
      <c r="BC209" s="33">
        <f t="shared" si="237"/>
        <v>0</v>
      </c>
      <c r="BD209" s="33">
        <f t="shared" si="238"/>
        <v>0</v>
      </c>
      <c r="BE209" s="33">
        <v>0</v>
      </c>
      <c r="BF209" s="33">
        <f>213</f>
        <v>213</v>
      </c>
      <c r="BH209" s="17">
        <f t="shared" si="239"/>
        <v>0</v>
      </c>
      <c r="BI209" s="17">
        <f t="shared" si="240"/>
        <v>0</v>
      </c>
      <c r="BJ209" s="17">
        <f t="shared" si="241"/>
        <v>0</v>
      </c>
    </row>
    <row r="210" spans="1:62" ht="12.75">
      <c r="A210" s="6" t="s">
        <v>176</v>
      </c>
      <c r="B210" s="6" t="s">
        <v>456</v>
      </c>
      <c r="C210" s="111" t="s">
        <v>766</v>
      </c>
      <c r="D210" s="112"/>
      <c r="E210" s="112"/>
      <c r="F210" s="6" t="s">
        <v>896</v>
      </c>
      <c r="G210" s="17">
        <v>3</v>
      </c>
      <c r="H210" s="17">
        <v>0</v>
      </c>
      <c r="I210" s="17">
        <f t="shared" si="220"/>
        <v>0</v>
      </c>
      <c r="J210" s="17">
        <f t="shared" si="221"/>
        <v>0</v>
      </c>
      <c r="K210" s="17">
        <f t="shared" si="222"/>
        <v>0</v>
      </c>
      <c r="L210" s="29" t="s">
        <v>922</v>
      </c>
      <c r="Z210" s="33">
        <f t="shared" si="223"/>
        <v>0</v>
      </c>
      <c r="AB210" s="33">
        <f t="shared" si="224"/>
        <v>0</v>
      </c>
      <c r="AC210" s="33">
        <f t="shared" si="225"/>
        <v>0</v>
      </c>
      <c r="AD210" s="33">
        <f t="shared" si="226"/>
        <v>0</v>
      </c>
      <c r="AE210" s="33">
        <f t="shared" si="227"/>
        <v>0</v>
      </c>
      <c r="AF210" s="33">
        <f t="shared" si="228"/>
        <v>0</v>
      </c>
      <c r="AG210" s="33">
        <f t="shared" si="229"/>
        <v>0</v>
      </c>
      <c r="AH210" s="33">
        <f t="shared" si="230"/>
        <v>0</v>
      </c>
      <c r="AI210" s="28"/>
      <c r="AJ210" s="17">
        <f t="shared" si="231"/>
        <v>0</v>
      </c>
      <c r="AK210" s="17">
        <f t="shared" si="232"/>
        <v>0</v>
      </c>
      <c r="AL210" s="17">
        <f t="shared" si="233"/>
        <v>0</v>
      </c>
      <c r="AN210" s="33">
        <v>21</v>
      </c>
      <c r="AO210" s="33">
        <f>H210*1</f>
        <v>0</v>
      </c>
      <c r="AP210" s="33">
        <f>H210*(1-1)</f>
        <v>0</v>
      </c>
      <c r="AQ210" s="29" t="s">
        <v>11</v>
      </c>
      <c r="AV210" s="33">
        <f t="shared" si="234"/>
        <v>0</v>
      </c>
      <c r="AW210" s="33">
        <f t="shared" si="235"/>
        <v>0</v>
      </c>
      <c r="AX210" s="33">
        <f t="shared" si="236"/>
        <v>0</v>
      </c>
      <c r="AY210" s="34" t="s">
        <v>964</v>
      </c>
      <c r="AZ210" s="34" t="s">
        <v>1002</v>
      </c>
      <c r="BA210" s="28" t="s">
        <v>1007</v>
      </c>
      <c r="BC210" s="33">
        <f t="shared" si="237"/>
        <v>0</v>
      </c>
      <c r="BD210" s="33">
        <f t="shared" si="238"/>
        <v>0</v>
      </c>
      <c r="BE210" s="33">
        <v>0</v>
      </c>
      <c r="BF210" s="33">
        <f>214</f>
        <v>214</v>
      </c>
      <c r="BH210" s="17">
        <f t="shared" si="239"/>
        <v>0</v>
      </c>
      <c r="BI210" s="17">
        <f t="shared" si="240"/>
        <v>0</v>
      </c>
      <c r="BJ210" s="17">
        <f t="shared" si="241"/>
        <v>0</v>
      </c>
    </row>
    <row r="211" spans="1:47" ht="12.75">
      <c r="A211" s="5"/>
      <c r="B211" s="13" t="s">
        <v>457</v>
      </c>
      <c r="C211" s="109" t="s">
        <v>767</v>
      </c>
      <c r="D211" s="110"/>
      <c r="E211" s="110"/>
      <c r="F211" s="5" t="s">
        <v>6</v>
      </c>
      <c r="G211" s="5" t="s">
        <v>6</v>
      </c>
      <c r="H211" s="5" t="s">
        <v>6</v>
      </c>
      <c r="I211" s="36">
        <f>SUM(I212:I216)</f>
        <v>0</v>
      </c>
      <c r="J211" s="36">
        <f>SUM(J212:J216)</f>
        <v>0</v>
      </c>
      <c r="K211" s="36">
        <f>SUM(K212:K216)</f>
        <v>0</v>
      </c>
      <c r="L211" s="28"/>
      <c r="AI211" s="28"/>
      <c r="AS211" s="36">
        <f>SUM(AJ212:AJ216)</f>
        <v>0</v>
      </c>
      <c r="AT211" s="36">
        <f>SUM(AK212:AK216)</f>
        <v>0</v>
      </c>
      <c r="AU211" s="36">
        <f>SUM(AL212:AL216)</f>
        <v>0</v>
      </c>
    </row>
    <row r="212" spans="1:62" ht="12.75">
      <c r="A212" s="4" t="s">
        <v>177</v>
      </c>
      <c r="B212" s="4" t="s">
        <v>458</v>
      </c>
      <c r="C212" s="107" t="s">
        <v>768</v>
      </c>
      <c r="D212" s="108"/>
      <c r="E212" s="108"/>
      <c r="F212" s="4" t="s">
        <v>895</v>
      </c>
      <c r="G212" s="16">
        <v>74.84</v>
      </c>
      <c r="H212" s="16">
        <v>0</v>
      </c>
      <c r="I212" s="16">
        <f>G212*AO212</f>
        <v>0</v>
      </c>
      <c r="J212" s="16">
        <f>G212*AP212</f>
        <v>0</v>
      </c>
      <c r="K212" s="16">
        <f>G212*H212</f>
        <v>0</v>
      </c>
      <c r="L212" s="27" t="s">
        <v>922</v>
      </c>
      <c r="Z212" s="33">
        <f>IF(AQ212="5",BJ212,0)</f>
        <v>0</v>
      </c>
      <c r="AB212" s="33">
        <f>IF(AQ212="1",BH212,0)</f>
        <v>0</v>
      </c>
      <c r="AC212" s="33">
        <f>IF(AQ212="1",BI212,0)</f>
        <v>0</v>
      </c>
      <c r="AD212" s="33">
        <f>IF(AQ212="7",BH212,0)</f>
        <v>0</v>
      </c>
      <c r="AE212" s="33">
        <f>IF(AQ212="7",BI212,0)</f>
        <v>0</v>
      </c>
      <c r="AF212" s="33">
        <f>IF(AQ212="2",BH212,0)</f>
        <v>0</v>
      </c>
      <c r="AG212" s="33">
        <f>IF(AQ212="2",BI212,0)</f>
        <v>0</v>
      </c>
      <c r="AH212" s="33">
        <f>IF(AQ212="0",BJ212,0)</f>
        <v>0</v>
      </c>
      <c r="AI212" s="28"/>
      <c r="AJ212" s="16">
        <f>IF(AN212=0,K212,0)</f>
        <v>0</v>
      </c>
      <c r="AK212" s="16">
        <f>IF(AN212=15,K212,0)</f>
        <v>0</v>
      </c>
      <c r="AL212" s="16">
        <f>IF(AN212=21,K212,0)</f>
        <v>0</v>
      </c>
      <c r="AN212" s="33">
        <v>21</v>
      </c>
      <c r="AO212" s="33">
        <f>H212*0.193368697816535</f>
        <v>0</v>
      </c>
      <c r="AP212" s="33">
        <f>H212*(1-0.193368697816535)</f>
        <v>0</v>
      </c>
      <c r="AQ212" s="27" t="s">
        <v>11</v>
      </c>
      <c r="AV212" s="33">
        <f>AW212+AX212</f>
        <v>0</v>
      </c>
      <c r="AW212" s="33">
        <f>G212*AO212</f>
        <v>0</v>
      </c>
      <c r="AX212" s="33">
        <f>G212*AP212</f>
        <v>0</v>
      </c>
      <c r="AY212" s="34" t="s">
        <v>965</v>
      </c>
      <c r="AZ212" s="34" t="s">
        <v>1003</v>
      </c>
      <c r="BA212" s="28" t="s">
        <v>1007</v>
      </c>
      <c r="BC212" s="33">
        <f>AW212+AX212</f>
        <v>0</v>
      </c>
      <c r="BD212" s="33">
        <f>H212/(100-BE212)*100</f>
        <v>0</v>
      </c>
      <c r="BE212" s="33">
        <v>0</v>
      </c>
      <c r="BF212" s="33">
        <f>216</f>
        <v>216</v>
      </c>
      <c r="BH212" s="16">
        <f>G212*AO212</f>
        <v>0</v>
      </c>
      <c r="BI212" s="16">
        <f>G212*AP212</f>
        <v>0</v>
      </c>
      <c r="BJ212" s="16">
        <f>G212*H212</f>
        <v>0</v>
      </c>
    </row>
    <row r="213" spans="1:62" ht="12.75">
      <c r="A213" s="4" t="s">
        <v>178</v>
      </c>
      <c r="B213" s="4" t="s">
        <v>459</v>
      </c>
      <c r="C213" s="107" t="s">
        <v>769</v>
      </c>
      <c r="D213" s="108"/>
      <c r="E213" s="108"/>
      <c r="F213" s="4" t="s">
        <v>899</v>
      </c>
      <c r="G213" s="16">
        <v>60.292</v>
      </c>
      <c r="H213" s="16">
        <v>0</v>
      </c>
      <c r="I213" s="16">
        <f>G213*AO213</f>
        <v>0</v>
      </c>
      <c r="J213" s="16">
        <f>G213*AP213</f>
        <v>0</v>
      </c>
      <c r="K213" s="16">
        <f>G213*H213</f>
        <v>0</v>
      </c>
      <c r="L213" s="27" t="s">
        <v>922</v>
      </c>
      <c r="Z213" s="33">
        <f>IF(AQ213="5",BJ213,0)</f>
        <v>0</v>
      </c>
      <c r="AB213" s="33">
        <f>IF(AQ213="1",BH213,0)</f>
        <v>0</v>
      </c>
      <c r="AC213" s="33">
        <f>IF(AQ213="1",BI213,0)</f>
        <v>0</v>
      </c>
      <c r="AD213" s="33">
        <f>IF(AQ213="7",BH213,0)</f>
        <v>0</v>
      </c>
      <c r="AE213" s="33">
        <f>IF(AQ213="7",BI213,0)</f>
        <v>0</v>
      </c>
      <c r="AF213" s="33">
        <f>IF(AQ213="2",BH213,0)</f>
        <v>0</v>
      </c>
      <c r="AG213" s="33">
        <f>IF(AQ213="2",BI213,0)</f>
        <v>0</v>
      </c>
      <c r="AH213" s="33">
        <f>IF(AQ213="0",BJ213,0)</f>
        <v>0</v>
      </c>
      <c r="AI213" s="28"/>
      <c r="AJ213" s="16">
        <f>IF(AN213=0,K213,0)</f>
        <v>0</v>
      </c>
      <c r="AK213" s="16">
        <f>IF(AN213=15,K213,0)</f>
        <v>0</v>
      </c>
      <c r="AL213" s="16">
        <f>IF(AN213=21,K213,0)</f>
        <v>0</v>
      </c>
      <c r="AN213" s="33">
        <v>21</v>
      </c>
      <c r="AO213" s="33">
        <f>H213*0.0355737898368866</f>
        <v>0</v>
      </c>
      <c r="AP213" s="33">
        <f>H213*(1-0.0355737898368866)</f>
        <v>0</v>
      </c>
      <c r="AQ213" s="27" t="s">
        <v>11</v>
      </c>
      <c r="AV213" s="33">
        <f>AW213+AX213</f>
        <v>0</v>
      </c>
      <c r="AW213" s="33">
        <f>G213*AO213</f>
        <v>0</v>
      </c>
      <c r="AX213" s="33">
        <f>G213*AP213</f>
        <v>0</v>
      </c>
      <c r="AY213" s="34" t="s">
        <v>965</v>
      </c>
      <c r="AZ213" s="34" t="s">
        <v>1003</v>
      </c>
      <c r="BA213" s="28" t="s">
        <v>1007</v>
      </c>
      <c r="BC213" s="33">
        <f>AW213+AX213</f>
        <v>0</v>
      </c>
      <c r="BD213" s="33">
        <f>H213/(100-BE213)*100</f>
        <v>0</v>
      </c>
      <c r="BE213" s="33">
        <v>0</v>
      </c>
      <c r="BF213" s="33">
        <f>217</f>
        <v>217</v>
      </c>
      <c r="BH213" s="16">
        <f>G213*AO213</f>
        <v>0</v>
      </c>
      <c r="BI213" s="16">
        <f>G213*AP213</f>
        <v>0</v>
      </c>
      <c r="BJ213" s="16">
        <f>G213*H213</f>
        <v>0</v>
      </c>
    </row>
    <row r="214" spans="1:62" ht="12.75">
      <c r="A214" s="6" t="s">
        <v>179</v>
      </c>
      <c r="B214" s="6" t="s">
        <v>460</v>
      </c>
      <c r="C214" s="111" t="s">
        <v>770</v>
      </c>
      <c r="D214" s="112"/>
      <c r="E214" s="112"/>
      <c r="F214" s="6" t="s">
        <v>895</v>
      </c>
      <c r="G214" s="17">
        <v>91.13</v>
      </c>
      <c r="H214" s="17">
        <v>0</v>
      </c>
      <c r="I214" s="17">
        <f>G214*AO214</f>
        <v>0</v>
      </c>
      <c r="J214" s="17">
        <f>G214*AP214</f>
        <v>0</v>
      </c>
      <c r="K214" s="17">
        <f>G214*H214</f>
        <v>0</v>
      </c>
      <c r="L214" s="29" t="s">
        <v>922</v>
      </c>
      <c r="Z214" s="33">
        <f>IF(AQ214="5",BJ214,0)</f>
        <v>0</v>
      </c>
      <c r="AB214" s="33">
        <f>IF(AQ214="1",BH214,0)</f>
        <v>0</v>
      </c>
      <c r="AC214" s="33">
        <f>IF(AQ214="1",BI214,0)</f>
        <v>0</v>
      </c>
      <c r="AD214" s="33">
        <f>IF(AQ214="7",BH214,0)</f>
        <v>0</v>
      </c>
      <c r="AE214" s="33">
        <f>IF(AQ214="7",BI214,0)</f>
        <v>0</v>
      </c>
      <c r="AF214" s="33">
        <f>IF(AQ214="2",BH214,0)</f>
        <v>0</v>
      </c>
      <c r="AG214" s="33">
        <f>IF(AQ214="2",BI214,0)</f>
        <v>0</v>
      </c>
      <c r="AH214" s="33">
        <f>IF(AQ214="0",BJ214,0)</f>
        <v>0</v>
      </c>
      <c r="AI214" s="28"/>
      <c r="AJ214" s="17">
        <f>IF(AN214=0,K214,0)</f>
        <v>0</v>
      </c>
      <c r="AK214" s="17">
        <f>IF(AN214=15,K214,0)</f>
        <v>0</v>
      </c>
      <c r="AL214" s="17">
        <f>IF(AN214=21,K214,0)</f>
        <v>0</v>
      </c>
      <c r="AN214" s="33">
        <v>21</v>
      </c>
      <c r="AO214" s="33">
        <f>H214*1</f>
        <v>0</v>
      </c>
      <c r="AP214" s="33">
        <f>H214*(1-1)</f>
        <v>0</v>
      </c>
      <c r="AQ214" s="29" t="s">
        <v>11</v>
      </c>
      <c r="AV214" s="33">
        <f>AW214+AX214</f>
        <v>0</v>
      </c>
      <c r="AW214" s="33">
        <f>G214*AO214</f>
        <v>0</v>
      </c>
      <c r="AX214" s="33">
        <f>G214*AP214</f>
        <v>0</v>
      </c>
      <c r="AY214" s="34" t="s">
        <v>965</v>
      </c>
      <c r="AZ214" s="34" t="s">
        <v>1003</v>
      </c>
      <c r="BA214" s="28" t="s">
        <v>1007</v>
      </c>
      <c r="BC214" s="33">
        <f>AW214+AX214</f>
        <v>0</v>
      </c>
      <c r="BD214" s="33">
        <f>H214/(100-BE214)*100</f>
        <v>0</v>
      </c>
      <c r="BE214" s="33">
        <v>0</v>
      </c>
      <c r="BF214" s="33">
        <f>218</f>
        <v>218</v>
      </c>
      <c r="BH214" s="17">
        <f>G214*AO214</f>
        <v>0</v>
      </c>
      <c r="BI214" s="17">
        <f>G214*AP214</f>
        <v>0</v>
      </c>
      <c r="BJ214" s="17">
        <f>G214*H214</f>
        <v>0</v>
      </c>
    </row>
    <row r="215" spans="1:62" ht="12.75">
      <c r="A215" s="4" t="s">
        <v>180</v>
      </c>
      <c r="B215" s="4" t="s">
        <v>461</v>
      </c>
      <c r="C215" s="107" t="s">
        <v>771</v>
      </c>
      <c r="D215" s="108"/>
      <c r="E215" s="108"/>
      <c r="F215" s="4" t="s">
        <v>895</v>
      </c>
      <c r="G215" s="16">
        <v>6.46</v>
      </c>
      <c r="H215" s="16">
        <v>0</v>
      </c>
      <c r="I215" s="16">
        <f>G215*AO215</f>
        <v>0</v>
      </c>
      <c r="J215" s="16">
        <f>G215*AP215</f>
        <v>0</v>
      </c>
      <c r="K215" s="16">
        <f>G215*H215</f>
        <v>0</v>
      </c>
      <c r="L215" s="27" t="s">
        <v>922</v>
      </c>
      <c r="Z215" s="33">
        <f>IF(AQ215="5",BJ215,0)</f>
        <v>0</v>
      </c>
      <c r="AB215" s="33">
        <f>IF(AQ215="1",BH215,0)</f>
        <v>0</v>
      </c>
      <c r="AC215" s="33">
        <f>IF(AQ215="1",BI215,0)</f>
        <v>0</v>
      </c>
      <c r="AD215" s="33">
        <f>IF(AQ215="7",BH215,0)</f>
        <v>0</v>
      </c>
      <c r="AE215" s="33">
        <f>IF(AQ215="7",BI215,0)</f>
        <v>0</v>
      </c>
      <c r="AF215" s="33">
        <f>IF(AQ215="2",BH215,0)</f>
        <v>0</v>
      </c>
      <c r="AG215" s="33">
        <f>IF(AQ215="2",BI215,0)</f>
        <v>0</v>
      </c>
      <c r="AH215" s="33">
        <f>IF(AQ215="0",BJ215,0)</f>
        <v>0</v>
      </c>
      <c r="AI215" s="28"/>
      <c r="AJ215" s="16">
        <f>IF(AN215=0,K215,0)</f>
        <v>0</v>
      </c>
      <c r="AK215" s="16">
        <f>IF(AN215=15,K215,0)</f>
        <v>0</v>
      </c>
      <c r="AL215" s="16">
        <f>IF(AN215=21,K215,0)</f>
        <v>0</v>
      </c>
      <c r="AN215" s="33">
        <v>21</v>
      </c>
      <c r="AO215" s="33">
        <f>H215*0</f>
        <v>0</v>
      </c>
      <c r="AP215" s="33">
        <f>H215*(1-0)</f>
        <v>0</v>
      </c>
      <c r="AQ215" s="27" t="s">
        <v>11</v>
      </c>
      <c r="AV215" s="33">
        <f>AW215+AX215</f>
        <v>0</v>
      </c>
      <c r="AW215" s="33">
        <f>G215*AO215</f>
        <v>0</v>
      </c>
      <c r="AX215" s="33">
        <f>G215*AP215</f>
        <v>0</v>
      </c>
      <c r="AY215" s="34" t="s">
        <v>965</v>
      </c>
      <c r="AZ215" s="34" t="s">
        <v>1003</v>
      </c>
      <c r="BA215" s="28" t="s">
        <v>1007</v>
      </c>
      <c r="BC215" s="33">
        <f>AW215+AX215</f>
        <v>0</v>
      </c>
      <c r="BD215" s="33">
        <f>H215/(100-BE215)*100</f>
        <v>0</v>
      </c>
      <c r="BE215" s="33">
        <v>0</v>
      </c>
      <c r="BF215" s="33">
        <f>219</f>
        <v>219</v>
      </c>
      <c r="BH215" s="16">
        <f>G215*AO215</f>
        <v>0</v>
      </c>
      <c r="BI215" s="16">
        <f>G215*AP215</f>
        <v>0</v>
      </c>
      <c r="BJ215" s="16">
        <f>G215*H215</f>
        <v>0</v>
      </c>
    </row>
    <row r="216" spans="1:62" ht="12.75">
      <c r="A216" s="6" t="s">
        <v>181</v>
      </c>
      <c r="B216" s="6" t="s">
        <v>462</v>
      </c>
      <c r="C216" s="111" t="s">
        <v>772</v>
      </c>
      <c r="D216" s="112"/>
      <c r="E216" s="112"/>
      <c r="F216" s="6" t="s">
        <v>895</v>
      </c>
      <c r="G216" s="17">
        <v>7.656</v>
      </c>
      <c r="H216" s="17">
        <v>0</v>
      </c>
      <c r="I216" s="17">
        <f>G216*AO216</f>
        <v>0</v>
      </c>
      <c r="J216" s="17">
        <f>G216*AP216</f>
        <v>0</v>
      </c>
      <c r="K216" s="17">
        <f>G216*H216</f>
        <v>0</v>
      </c>
      <c r="L216" s="29" t="s">
        <v>922</v>
      </c>
      <c r="Z216" s="33">
        <f>IF(AQ216="5",BJ216,0)</f>
        <v>0</v>
      </c>
      <c r="AB216" s="33">
        <f>IF(AQ216="1",BH216,0)</f>
        <v>0</v>
      </c>
      <c r="AC216" s="33">
        <f>IF(AQ216="1",BI216,0)</f>
        <v>0</v>
      </c>
      <c r="AD216" s="33">
        <f>IF(AQ216="7",BH216,0)</f>
        <v>0</v>
      </c>
      <c r="AE216" s="33">
        <f>IF(AQ216="7",BI216,0)</f>
        <v>0</v>
      </c>
      <c r="AF216" s="33">
        <f>IF(AQ216="2",BH216,0)</f>
        <v>0</v>
      </c>
      <c r="AG216" s="33">
        <f>IF(AQ216="2",BI216,0)</f>
        <v>0</v>
      </c>
      <c r="AH216" s="33">
        <f>IF(AQ216="0",BJ216,0)</f>
        <v>0</v>
      </c>
      <c r="AI216" s="28"/>
      <c r="AJ216" s="17">
        <f>IF(AN216=0,K216,0)</f>
        <v>0</v>
      </c>
      <c r="AK216" s="17">
        <f>IF(AN216=15,K216,0)</f>
        <v>0</v>
      </c>
      <c r="AL216" s="17">
        <f>IF(AN216=21,K216,0)</f>
        <v>0</v>
      </c>
      <c r="AN216" s="33">
        <v>21</v>
      </c>
      <c r="AO216" s="33">
        <f>H216*1</f>
        <v>0</v>
      </c>
      <c r="AP216" s="33">
        <f>H216*(1-1)</f>
        <v>0</v>
      </c>
      <c r="AQ216" s="29" t="s">
        <v>11</v>
      </c>
      <c r="AV216" s="33">
        <f>AW216+AX216</f>
        <v>0</v>
      </c>
      <c r="AW216" s="33">
        <f>G216*AO216</f>
        <v>0</v>
      </c>
      <c r="AX216" s="33">
        <f>G216*AP216</f>
        <v>0</v>
      </c>
      <c r="AY216" s="34" t="s">
        <v>965</v>
      </c>
      <c r="AZ216" s="34" t="s">
        <v>1003</v>
      </c>
      <c r="BA216" s="28" t="s">
        <v>1007</v>
      </c>
      <c r="BC216" s="33">
        <f>AW216+AX216</f>
        <v>0</v>
      </c>
      <c r="BD216" s="33">
        <f>H216/(100-BE216)*100</f>
        <v>0</v>
      </c>
      <c r="BE216" s="33">
        <v>0</v>
      </c>
      <c r="BF216" s="33">
        <f>220</f>
        <v>220</v>
      </c>
      <c r="BH216" s="17">
        <f>G216*AO216</f>
        <v>0</v>
      </c>
      <c r="BI216" s="17">
        <f>G216*AP216</f>
        <v>0</v>
      </c>
      <c r="BJ216" s="17">
        <f>G216*H216</f>
        <v>0</v>
      </c>
    </row>
    <row r="217" spans="1:47" ht="12.75">
      <c r="A217" s="5"/>
      <c r="B217" s="13" t="s">
        <v>463</v>
      </c>
      <c r="C217" s="109" t="s">
        <v>773</v>
      </c>
      <c r="D217" s="110"/>
      <c r="E217" s="110"/>
      <c r="F217" s="5" t="s">
        <v>6</v>
      </c>
      <c r="G217" s="5" t="s">
        <v>6</v>
      </c>
      <c r="H217" s="5" t="s">
        <v>6</v>
      </c>
      <c r="I217" s="36">
        <f>SUM(I218:I218)</f>
        <v>0</v>
      </c>
      <c r="J217" s="36">
        <f>SUM(J218:J218)</f>
        <v>0</v>
      </c>
      <c r="K217" s="36">
        <f>SUM(K218:K218)</f>
        <v>0</v>
      </c>
      <c r="L217" s="28"/>
      <c r="AI217" s="28"/>
      <c r="AS217" s="36">
        <f>SUM(AJ218:AJ218)</f>
        <v>0</v>
      </c>
      <c r="AT217" s="36">
        <f>SUM(AK218:AK218)</f>
        <v>0</v>
      </c>
      <c r="AU217" s="36">
        <f>SUM(AL218:AL218)</f>
        <v>0</v>
      </c>
    </row>
    <row r="218" spans="1:62" ht="12.75">
      <c r="A218" s="4" t="s">
        <v>182</v>
      </c>
      <c r="B218" s="4" t="s">
        <v>464</v>
      </c>
      <c r="C218" s="107" t="s">
        <v>774</v>
      </c>
      <c r="D218" s="108"/>
      <c r="E218" s="108"/>
      <c r="F218" s="4" t="s">
        <v>895</v>
      </c>
      <c r="G218" s="16">
        <v>5.403</v>
      </c>
      <c r="H218" s="16">
        <v>0</v>
      </c>
      <c r="I218" s="16">
        <f>G218*AO218</f>
        <v>0</v>
      </c>
      <c r="J218" s="16">
        <f>G218*AP218</f>
        <v>0</v>
      </c>
      <c r="K218" s="16">
        <f>G218*H218</f>
        <v>0</v>
      </c>
      <c r="L218" s="27" t="s">
        <v>922</v>
      </c>
      <c r="Z218" s="33">
        <f>IF(AQ218="5",BJ218,0)</f>
        <v>0</v>
      </c>
      <c r="AB218" s="33">
        <f>IF(AQ218="1",BH218,0)</f>
        <v>0</v>
      </c>
      <c r="AC218" s="33">
        <f>IF(AQ218="1",BI218,0)</f>
        <v>0</v>
      </c>
      <c r="AD218" s="33">
        <f>IF(AQ218="7",BH218,0)</f>
        <v>0</v>
      </c>
      <c r="AE218" s="33">
        <f>IF(AQ218="7",BI218,0)</f>
        <v>0</v>
      </c>
      <c r="AF218" s="33">
        <f>IF(AQ218="2",BH218,0)</f>
        <v>0</v>
      </c>
      <c r="AG218" s="33">
        <f>IF(AQ218="2",BI218,0)</f>
        <v>0</v>
      </c>
      <c r="AH218" s="33">
        <f>IF(AQ218="0",BJ218,0)</f>
        <v>0</v>
      </c>
      <c r="AI218" s="28"/>
      <c r="AJ218" s="16">
        <f>IF(AN218=0,K218,0)</f>
        <v>0</v>
      </c>
      <c r="AK218" s="16">
        <f>IF(AN218=15,K218,0)</f>
        <v>0</v>
      </c>
      <c r="AL218" s="16">
        <f>IF(AN218=21,K218,0)</f>
        <v>0</v>
      </c>
      <c r="AN218" s="33">
        <v>21</v>
      </c>
      <c r="AO218" s="33">
        <f>H218*0.793361974766009</f>
        <v>0</v>
      </c>
      <c r="AP218" s="33">
        <f>H218*(1-0.793361974766009)</f>
        <v>0</v>
      </c>
      <c r="AQ218" s="27" t="s">
        <v>11</v>
      </c>
      <c r="AV218" s="33">
        <f>AW218+AX218</f>
        <v>0</v>
      </c>
      <c r="AW218" s="33">
        <f>G218*AO218</f>
        <v>0</v>
      </c>
      <c r="AX218" s="33">
        <f>G218*AP218</f>
        <v>0</v>
      </c>
      <c r="AY218" s="34" t="s">
        <v>966</v>
      </c>
      <c r="AZ218" s="34" t="s">
        <v>1003</v>
      </c>
      <c r="BA218" s="28" t="s">
        <v>1007</v>
      </c>
      <c r="BC218" s="33">
        <f>AW218+AX218</f>
        <v>0</v>
      </c>
      <c r="BD218" s="33">
        <f>H218/(100-BE218)*100</f>
        <v>0</v>
      </c>
      <c r="BE218" s="33">
        <v>0</v>
      </c>
      <c r="BF218" s="33">
        <f>222</f>
        <v>222</v>
      </c>
      <c r="BH218" s="16">
        <f>G218*AO218</f>
        <v>0</v>
      </c>
      <c r="BI218" s="16">
        <f>G218*AP218</f>
        <v>0</v>
      </c>
      <c r="BJ218" s="16">
        <f>G218*H218</f>
        <v>0</v>
      </c>
    </row>
    <row r="219" spans="1:47" ht="12.75">
      <c r="A219" s="5"/>
      <c r="B219" s="13" t="s">
        <v>465</v>
      </c>
      <c r="C219" s="109" t="s">
        <v>775</v>
      </c>
      <c r="D219" s="110"/>
      <c r="E219" s="110"/>
      <c r="F219" s="5" t="s">
        <v>6</v>
      </c>
      <c r="G219" s="5" t="s">
        <v>6</v>
      </c>
      <c r="H219" s="5" t="s">
        <v>6</v>
      </c>
      <c r="I219" s="36">
        <f>SUM(I220:I223)</f>
        <v>0</v>
      </c>
      <c r="J219" s="36">
        <f>SUM(J220:J223)</f>
        <v>0</v>
      </c>
      <c r="K219" s="36">
        <f>SUM(K220:K223)</f>
        <v>0</v>
      </c>
      <c r="L219" s="28"/>
      <c r="AI219" s="28"/>
      <c r="AS219" s="36">
        <f>SUM(AJ220:AJ223)</f>
        <v>0</v>
      </c>
      <c r="AT219" s="36">
        <f>SUM(AK220:AK223)</f>
        <v>0</v>
      </c>
      <c r="AU219" s="36">
        <f>SUM(AL220:AL223)</f>
        <v>0</v>
      </c>
    </row>
    <row r="220" spans="1:62" ht="12.75">
      <c r="A220" s="4" t="s">
        <v>183</v>
      </c>
      <c r="B220" s="4" t="s">
        <v>466</v>
      </c>
      <c r="C220" s="107" t="s">
        <v>776</v>
      </c>
      <c r="D220" s="108"/>
      <c r="E220" s="108"/>
      <c r="F220" s="4" t="s">
        <v>895</v>
      </c>
      <c r="G220" s="16">
        <v>23.4148</v>
      </c>
      <c r="H220" s="16">
        <v>0</v>
      </c>
      <c r="I220" s="16">
        <f>G220*AO220</f>
        <v>0</v>
      </c>
      <c r="J220" s="16">
        <f>G220*AP220</f>
        <v>0</v>
      </c>
      <c r="K220" s="16">
        <f>G220*H220</f>
        <v>0</v>
      </c>
      <c r="L220" s="27" t="s">
        <v>922</v>
      </c>
      <c r="Z220" s="33">
        <f>IF(AQ220="5",BJ220,0)</f>
        <v>0</v>
      </c>
      <c r="AB220" s="33">
        <f>IF(AQ220="1",BH220,0)</f>
        <v>0</v>
      </c>
      <c r="AC220" s="33">
        <f>IF(AQ220="1",BI220,0)</f>
        <v>0</v>
      </c>
      <c r="AD220" s="33">
        <f>IF(AQ220="7",BH220,0)</f>
        <v>0</v>
      </c>
      <c r="AE220" s="33">
        <f>IF(AQ220="7",BI220,0)</f>
        <v>0</v>
      </c>
      <c r="AF220" s="33">
        <f>IF(AQ220="2",BH220,0)</f>
        <v>0</v>
      </c>
      <c r="AG220" s="33">
        <f>IF(AQ220="2",BI220,0)</f>
        <v>0</v>
      </c>
      <c r="AH220" s="33">
        <f>IF(AQ220="0",BJ220,0)</f>
        <v>0</v>
      </c>
      <c r="AI220" s="28"/>
      <c r="AJ220" s="16">
        <f>IF(AN220=0,K220,0)</f>
        <v>0</v>
      </c>
      <c r="AK220" s="16">
        <f>IF(AN220=15,K220,0)</f>
        <v>0</v>
      </c>
      <c r="AL220" s="16">
        <f>IF(AN220=21,K220,0)</f>
        <v>0</v>
      </c>
      <c r="AN220" s="33">
        <v>21</v>
      </c>
      <c r="AO220" s="33">
        <f>H220*0</f>
        <v>0</v>
      </c>
      <c r="AP220" s="33">
        <f>H220*(1-0)</f>
        <v>0</v>
      </c>
      <c r="AQ220" s="27" t="s">
        <v>11</v>
      </c>
      <c r="AV220" s="33">
        <f>AW220+AX220</f>
        <v>0</v>
      </c>
      <c r="AW220" s="33">
        <f>G220*AO220</f>
        <v>0</v>
      </c>
      <c r="AX220" s="33">
        <f>G220*AP220</f>
        <v>0</v>
      </c>
      <c r="AY220" s="34" t="s">
        <v>967</v>
      </c>
      <c r="AZ220" s="34" t="s">
        <v>1004</v>
      </c>
      <c r="BA220" s="28" t="s">
        <v>1007</v>
      </c>
      <c r="BC220" s="33">
        <f>AW220+AX220</f>
        <v>0</v>
      </c>
      <c r="BD220" s="33">
        <f>H220/(100-BE220)*100</f>
        <v>0</v>
      </c>
      <c r="BE220" s="33">
        <v>0</v>
      </c>
      <c r="BF220" s="33">
        <f>224</f>
        <v>224</v>
      </c>
      <c r="BH220" s="16">
        <f>G220*AO220</f>
        <v>0</v>
      </c>
      <c r="BI220" s="16">
        <f>G220*AP220</f>
        <v>0</v>
      </c>
      <c r="BJ220" s="16">
        <f>G220*H220</f>
        <v>0</v>
      </c>
    </row>
    <row r="221" spans="1:62" ht="12.75">
      <c r="A221" s="6" t="s">
        <v>184</v>
      </c>
      <c r="B221" s="6" t="s">
        <v>462</v>
      </c>
      <c r="C221" s="111" t="s">
        <v>777</v>
      </c>
      <c r="D221" s="112"/>
      <c r="E221" s="112"/>
      <c r="F221" s="6" t="s">
        <v>895</v>
      </c>
      <c r="G221" s="17">
        <v>25.75628</v>
      </c>
      <c r="H221" s="17">
        <v>0</v>
      </c>
      <c r="I221" s="17">
        <f>G221*AO221</f>
        <v>0</v>
      </c>
      <c r="J221" s="17">
        <f>G221*AP221</f>
        <v>0</v>
      </c>
      <c r="K221" s="17">
        <f>G221*H221</f>
        <v>0</v>
      </c>
      <c r="L221" s="29" t="s">
        <v>922</v>
      </c>
      <c r="Z221" s="33">
        <f>IF(AQ221="5",BJ221,0)</f>
        <v>0</v>
      </c>
      <c r="AB221" s="33">
        <f>IF(AQ221="1",BH221,0)</f>
        <v>0</v>
      </c>
      <c r="AC221" s="33">
        <f>IF(AQ221="1",BI221,0)</f>
        <v>0</v>
      </c>
      <c r="AD221" s="33">
        <f>IF(AQ221="7",BH221,0)</f>
        <v>0</v>
      </c>
      <c r="AE221" s="33">
        <f>IF(AQ221="7",BI221,0)</f>
        <v>0</v>
      </c>
      <c r="AF221" s="33">
        <f>IF(AQ221="2",BH221,0)</f>
        <v>0</v>
      </c>
      <c r="AG221" s="33">
        <f>IF(AQ221="2",BI221,0)</f>
        <v>0</v>
      </c>
      <c r="AH221" s="33">
        <f>IF(AQ221="0",BJ221,0)</f>
        <v>0</v>
      </c>
      <c r="AI221" s="28"/>
      <c r="AJ221" s="17">
        <f>IF(AN221=0,K221,0)</f>
        <v>0</v>
      </c>
      <c r="AK221" s="17">
        <f>IF(AN221=15,K221,0)</f>
        <v>0</v>
      </c>
      <c r="AL221" s="17">
        <f>IF(AN221=21,K221,0)</f>
        <v>0</v>
      </c>
      <c r="AN221" s="33">
        <v>21</v>
      </c>
      <c r="AO221" s="33">
        <f>H221*1</f>
        <v>0</v>
      </c>
      <c r="AP221" s="33">
        <f>H221*(1-1)</f>
        <v>0</v>
      </c>
      <c r="AQ221" s="29" t="s">
        <v>11</v>
      </c>
      <c r="AV221" s="33">
        <f>AW221+AX221</f>
        <v>0</v>
      </c>
      <c r="AW221" s="33">
        <f>G221*AO221</f>
        <v>0</v>
      </c>
      <c r="AX221" s="33">
        <f>G221*AP221</f>
        <v>0</v>
      </c>
      <c r="AY221" s="34" t="s">
        <v>967</v>
      </c>
      <c r="AZ221" s="34" t="s">
        <v>1004</v>
      </c>
      <c r="BA221" s="28" t="s">
        <v>1007</v>
      </c>
      <c r="BC221" s="33">
        <f>AW221+AX221</f>
        <v>0</v>
      </c>
      <c r="BD221" s="33">
        <f>H221/(100-BE221)*100</f>
        <v>0</v>
      </c>
      <c r="BE221" s="33">
        <v>0</v>
      </c>
      <c r="BF221" s="33">
        <f>225</f>
        <v>225</v>
      </c>
      <c r="BH221" s="17">
        <f>G221*AO221</f>
        <v>0</v>
      </c>
      <c r="BI221" s="17">
        <f>G221*AP221</f>
        <v>0</v>
      </c>
      <c r="BJ221" s="17">
        <f>G221*H221</f>
        <v>0</v>
      </c>
    </row>
    <row r="222" spans="1:62" ht="12.75">
      <c r="A222" s="4" t="s">
        <v>185</v>
      </c>
      <c r="B222" s="4" t="s">
        <v>467</v>
      </c>
      <c r="C222" s="107" t="s">
        <v>778</v>
      </c>
      <c r="D222" s="108"/>
      <c r="E222" s="108"/>
      <c r="F222" s="4" t="s">
        <v>895</v>
      </c>
      <c r="G222" s="16">
        <v>0</v>
      </c>
      <c r="H222" s="16">
        <v>0</v>
      </c>
      <c r="I222" s="16">
        <f>G222*AO222</f>
        <v>0</v>
      </c>
      <c r="J222" s="16">
        <f>G222*AP222</f>
        <v>0</v>
      </c>
      <c r="K222" s="16">
        <f>G222*H222</f>
        <v>0</v>
      </c>
      <c r="L222" s="27" t="s">
        <v>922</v>
      </c>
      <c r="Z222" s="33">
        <f>IF(AQ222="5",BJ222,0)</f>
        <v>0</v>
      </c>
      <c r="AB222" s="33">
        <f>IF(AQ222="1",BH222,0)</f>
        <v>0</v>
      </c>
      <c r="AC222" s="33">
        <f>IF(AQ222="1",BI222,0)</f>
        <v>0</v>
      </c>
      <c r="AD222" s="33">
        <f>IF(AQ222="7",BH222,0)</f>
        <v>0</v>
      </c>
      <c r="AE222" s="33">
        <f>IF(AQ222="7",BI222,0)</f>
        <v>0</v>
      </c>
      <c r="AF222" s="33">
        <f>IF(AQ222="2",BH222,0)</f>
        <v>0</v>
      </c>
      <c r="AG222" s="33">
        <f>IF(AQ222="2",BI222,0)</f>
        <v>0</v>
      </c>
      <c r="AH222" s="33">
        <f>IF(AQ222="0",BJ222,0)</f>
        <v>0</v>
      </c>
      <c r="AI222" s="28"/>
      <c r="AJ222" s="16">
        <f>IF(AN222=0,K222,0)</f>
        <v>0</v>
      </c>
      <c r="AK222" s="16">
        <f>IF(AN222=15,K222,0)</f>
        <v>0</v>
      </c>
      <c r="AL222" s="16">
        <f>IF(AN222=21,K222,0)</f>
        <v>0</v>
      </c>
      <c r="AN222" s="33">
        <v>21</v>
      </c>
      <c r="AO222" s="33">
        <f>H222*0</f>
        <v>0</v>
      </c>
      <c r="AP222" s="33">
        <f>H222*(1-0)</f>
        <v>0</v>
      </c>
      <c r="AQ222" s="27" t="s">
        <v>11</v>
      </c>
      <c r="AV222" s="33">
        <f>AW222+AX222</f>
        <v>0</v>
      </c>
      <c r="AW222" s="33">
        <f>G222*AO222</f>
        <v>0</v>
      </c>
      <c r="AX222" s="33">
        <f>G222*AP222</f>
        <v>0</v>
      </c>
      <c r="AY222" s="34" t="s">
        <v>967</v>
      </c>
      <c r="AZ222" s="34" t="s">
        <v>1004</v>
      </c>
      <c r="BA222" s="28" t="s">
        <v>1007</v>
      </c>
      <c r="BC222" s="33">
        <f>AW222+AX222</f>
        <v>0</v>
      </c>
      <c r="BD222" s="33">
        <f>H222/(100-BE222)*100</f>
        <v>0</v>
      </c>
      <c r="BE222" s="33">
        <v>0</v>
      </c>
      <c r="BF222" s="33">
        <f>226</f>
        <v>226</v>
      </c>
      <c r="BH222" s="16">
        <f>G222*AO222</f>
        <v>0</v>
      </c>
      <c r="BI222" s="16">
        <f>G222*AP222</f>
        <v>0</v>
      </c>
      <c r="BJ222" s="16">
        <f>G222*H222</f>
        <v>0</v>
      </c>
    </row>
    <row r="223" spans="1:62" ht="12.75">
      <c r="A223" s="4" t="s">
        <v>186</v>
      </c>
      <c r="B223" s="4" t="s">
        <v>468</v>
      </c>
      <c r="C223" s="107" t="s">
        <v>779</v>
      </c>
      <c r="D223" s="108"/>
      <c r="E223" s="108"/>
      <c r="F223" s="4" t="s">
        <v>895</v>
      </c>
      <c r="G223" s="16">
        <v>0</v>
      </c>
      <c r="H223" s="16">
        <v>0</v>
      </c>
      <c r="I223" s="16">
        <f>G223*AO223</f>
        <v>0</v>
      </c>
      <c r="J223" s="16">
        <f>G223*AP223</f>
        <v>0</v>
      </c>
      <c r="K223" s="16">
        <f>G223*H223</f>
        <v>0</v>
      </c>
      <c r="L223" s="27" t="s">
        <v>922</v>
      </c>
      <c r="Z223" s="33">
        <f>IF(AQ223="5",BJ223,0)</f>
        <v>0</v>
      </c>
      <c r="AB223" s="33">
        <f>IF(AQ223="1",BH223,0)</f>
        <v>0</v>
      </c>
      <c r="AC223" s="33">
        <f>IF(AQ223="1",BI223,0)</f>
        <v>0</v>
      </c>
      <c r="AD223" s="33">
        <f>IF(AQ223="7",BH223,0)</f>
        <v>0</v>
      </c>
      <c r="AE223" s="33">
        <f>IF(AQ223="7",BI223,0)</f>
        <v>0</v>
      </c>
      <c r="AF223" s="33">
        <f>IF(AQ223="2",BH223,0)</f>
        <v>0</v>
      </c>
      <c r="AG223" s="33">
        <f>IF(AQ223="2",BI223,0)</f>
        <v>0</v>
      </c>
      <c r="AH223" s="33">
        <f>IF(AQ223="0",BJ223,0)</f>
        <v>0</v>
      </c>
      <c r="AI223" s="28"/>
      <c r="AJ223" s="16">
        <f>IF(AN223=0,K223,0)</f>
        <v>0</v>
      </c>
      <c r="AK223" s="16">
        <f>IF(AN223=15,K223,0)</f>
        <v>0</v>
      </c>
      <c r="AL223" s="16">
        <f>IF(AN223=21,K223,0)</f>
        <v>0</v>
      </c>
      <c r="AN223" s="33">
        <v>21</v>
      </c>
      <c r="AO223" s="33">
        <f>H223*0</f>
        <v>0</v>
      </c>
      <c r="AP223" s="33">
        <f>H223*(1-0)</f>
        <v>0</v>
      </c>
      <c r="AQ223" s="27" t="s">
        <v>11</v>
      </c>
      <c r="AV223" s="33">
        <f>AW223+AX223</f>
        <v>0</v>
      </c>
      <c r="AW223" s="33">
        <f>G223*AO223</f>
        <v>0</v>
      </c>
      <c r="AX223" s="33">
        <f>G223*AP223</f>
        <v>0</v>
      </c>
      <c r="AY223" s="34" t="s">
        <v>967</v>
      </c>
      <c r="AZ223" s="34" t="s">
        <v>1004</v>
      </c>
      <c r="BA223" s="28" t="s">
        <v>1007</v>
      </c>
      <c r="BC223" s="33">
        <f>AW223+AX223</f>
        <v>0</v>
      </c>
      <c r="BD223" s="33">
        <f>H223/(100-BE223)*100</f>
        <v>0</v>
      </c>
      <c r="BE223" s="33">
        <v>0</v>
      </c>
      <c r="BF223" s="33">
        <f>227</f>
        <v>227</v>
      </c>
      <c r="BH223" s="16">
        <f>G223*AO223</f>
        <v>0</v>
      </c>
      <c r="BI223" s="16">
        <f>G223*AP223</f>
        <v>0</v>
      </c>
      <c r="BJ223" s="16">
        <f>G223*H223</f>
        <v>0</v>
      </c>
    </row>
    <row r="224" spans="1:47" ht="12.75">
      <c r="A224" s="5"/>
      <c r="B224" s="13" t="s">
        <v>469</v>
      </c>
      <c r="C224" s="109" t="s">
        <v>780</v>
      </c>
      <c r="D224" s="110"/>
      <c r="E224" s="110"/>
      <c r="F224" s="5" t="s">
        <v>6</v>
      </c>
      <c r="G224" s="5" t="s">
        <v>6</v>
      </c>
      <c r="H224" s="5" t="s">
        <v>6</v>
      </c>
      <c r="I224" s="36">
        <f>SUM(I225:I225)</f>
        <v>0</v>
      </c>
      <c r="J224" s="36">
        <f>SUM(J225:J225)</f>
        <v>0</v>
      </c>
      <c r="K224" s="36">
        <f>SUM(K225:K225)</f>
        <v>0</v>
      </c>
      <c r="L224" s="28"/>
      <c r="AI224" s="28"/>
      <c r="AS224" s="36">
        <f>SUM(AJ225:AJ225)</f>
        <v>0</v>
      </c>
      <c r="AT224" s="36">
        <f>SUM(AK225:AK225)</f>
        <v>0</v>
      </c>
      <c r="AU224" s="36">
        <f>SUM(AL225:AL225)</f>
        <v>0</v>
      </c>
    </row>
    <row r="225" spans="1:62" ht="12.75">
      <c r="A225" s="4" t="s">
        <v>187</v>
      </c>
      <c r="B225" s="4" t="s">
        <v>470</v>
      </c>
      <c r="C225" s="107" t="s">
        <v>781</v>
      </c>
      <c r="D225" s="108"/>
      <c r="E225" s="108"/>
      <c r="F225" s="4" t="s">
        <v>895</v>
      </c>
      <c r="G225" s="16">
        <v>78.6</v>
      </c>
      <c r="H225" s="16">
        <v>0</v>
      </c>
      <c r="I225" s="16">
        <f>G225*AO225</f>
        <v>0</v>
      </c>
      <c r="J225" s="16">
        <f>G225*AP225</f>
        <v>0</v>
      </c>
      <c r="K225" s="16">
        <f>G225*H225</f>
        <v>0</v>
      </c>
      <c r="L225" s="27" t="s">
        <v>922</v>
      </c>
      <c r="Z225" s="33">
        <f>IF(AQ225="5",BJ225,0)</f>
        <v>0</v>
      </c>
      <c r="AB225" s="33">
        <f>IF(AQ225="1",BH225,0)</f>
        <v>0</v>
      </c>
      <c r="AC225" s="33">
        <f>IF(AQ225="1",BI225,0)</f>
        <v>0</v>
      </c>
      <c r="AD225" s="33">
        <f>IF(AQ225="7",BH225,0)</f>
        <v>0</v>
      </c>
      <c r="AE225" s="33">
        <f>IF(AQ225="7",BI225,0)</f>
        <v>0</v>
      </c>
      <c r="AF225" s="33">
        <f>IF(AQ225="2",BH225,0)</f>
        <v>0</v>
      </c>
      <c r="AG225" s="33">
        <f>IF(AQ225="2",BI225,0)</f>
        <v>0</v>
      </c>
      <c r="AH225" s="33">
        <f>IF(AQ225="0",BJ225,0)</f>
        <v>0</v>
      </c>
      <c r="AI225" s="28"/>
      <c r="AJ225" s="16">
        <f>IF(AN225=0,K225,0)</f>
        <v>0</v>
      </c>
      <c r="AK225" s="16">
        <f>IF(AN225=15,K225,0)</f>
        <v>0</v>
      </c>
      <c r="AL225" s="16">
        <f>IF(AN225=21,K225,0)</f>
        <v>0</v>
      </c>
      <c r="AN225" s="33">
        <v>21</v>
      </c>
      <c r="AO225" s="33">
        <f>H225*0.199456193353474</f>
        <v>0</v>
      </c>
      <c r="AP225" s="33">
        <f>H225*(1-0.199456193353474)</f>
        <v>0</v>
      </c>
      <c r="AQ225" s="27" t="s">
        <v>11</v>
      </c>
      <c r="AV225" s="33">
        <f>AW225+AX225</f>
        <v>0</v>
      </c>
      <c r="AW225" s="33">
        <f>G225*AO225</f>
        <v>0</v>
      </c>
      <c r="AX225" s="33">
        <f>G225*AP225</f>
        <v>0</v>
      </c>
      <c r="AY225" s="34" t="s">
        <v>968</v>
      </c>
      <c r="AZ225" s="34" t="s">
        <v>1004</v>
      </c>
      <c r="BA225" s="28" t="s">
        <v>1007</v>
      </c>
      <c r="BC225" s="33">
        <f>AW225+AX225</f>
        <v>0</v>
      </c>
      <c r="BD225" s="33">
        <f>H225/(100-BE225)*100</f>
        <v>0</v>
      </c>
      <c r="BE225" s="33">
        <v>0</v>
      </c>
      <c r="BF225" s="33">
        <f>229</f>
        <v>229</v>
      </c>
      <c r="BH225" s="16">
        <f>G225*AO225</f>
        <v>0</v>
      </c>
      <c r="BI225" s="16">
        <f>G225*AP225</f>
        <v>0</v>
      </c>
      <c r="BJ225" s="16">
        <f>G225*H225</f>
        <v>0</v>
      </c>
    </row>
    <row r="226" spans="1:47" ht="12.75">
      <c r="A226" s="5"/>
      <c r="B226" s="13" t="s">
        <v>471</v>
      </c>
      <c r="C226" s="109" t="s">
        <v>782</v>
      </c>
      <c r="D226" s="110"/>
      <c r="E226" s="110"/>
      <c r="F226" s="5" t="s">
        <v>6</v>
      </c>
      <c r="G226" s="5" t="s">
        <v>6</v>
      </c>
      <c r="H226" s="5" t="s">
        <v>6</v>
      </c>
      <c r="I226" s="36">
        <f>SUM(I227:I228)</f>
        <v>0</v>
      </c>
      <c r="J226" s="36">
        <f>SUM(J227:J228)</f>
        <v>0</v>
      </c>
      <c r="K226" s="36">
        <f>SUM(K227:K228)</f>
        <v>0</v>
      </c>
      <c r="L226" s="28"/>
      <c r="AI226" s="28"/>
      <c r="AS226" s="36">
        <f>SUM(AJ227:AJ228)</f>
        <v>0</v>
      </c>
      <c r="AT226" s="36">
        <f>SUM(AK227:AK228)</f>
        <v>0</v>
      </c>
      <c r="AU226" s="36">
        <f>SUM(AL227:AL228)</f>
        <v>0</v>
      </c>
    </row>
    <row r="227" spans="1:62" ht="12.75">
      <c r="A227" s="4" t="s">
        <v>188</v>
      </c>
      <c r="B227" s="4" t="s">
        <v>472</v>
      </c>
      <c r="C227" s="107" t="s">
        <v>783</v>
      </c>
      <c r="D227" s="108"/>
      <c r="E227" s="108"/>
      <c r="F227" s="4" t="s">
        <v>895</v>
      </c>
      <c r="G227" s="16">
        <v>197.38548</v>
      </c>
      <c r="H227" s="16">
        <v>0</v>
      </c>
      <c r="I227" s="16">
        <f>G227*AO227</f>
        <v>0</v>
      </c>
      <c r="J227" s="16">
        <f>G227*AP227</f>
        <v>0</v>
      </c>
      <c r="K227" s="16">
        <f>G227*H227</f>
        <v>0</v>
      </c>
      <c r="L227" s="27" t="s">
        <v>922</v>
      </c>
      <c r="Z227" s="33">
        <f>IF(AQ227="5",BJ227,0)</f>
        <v>0</v>
      </c>
      <c r="AB227" s="33">
        <f>IF(AQ227="1",BH227,0)</f>
        <v>0</v>
      </c>
      <c r="AC227" s="33">
        <f>IF(AQ227="1",BI227,0)</f>
        <v>0</v>
      </c>
      <c r="AD227" s="33">
        <f>IF(AQ227="7",BH227,0)</f>
        <v>0</v>
      </c>
      <c r="AE227" s="33">
        <f>IF(AQ227="7",BI227,0)</f>
        <v>0</v>
      </c>
      <c r="AF227" s="33">
        <f>IF(AQ227="2",BH227,0)</f>
        <v>0</v>
      </c>
      <c r="AG227" s="33">
        <f>IF(AQ227="2",BI227,0)</f>
        <v>0</v>
      </c>
      <c r="AH227" s="33">
        <f>IF(AQ227="0",BJ227,0)</f>
        <v>0</v>
      </c>
      <c r="AI227" s="28"/>
      <c r="AJ227" s="16">
        <f>IF(AN227=0,K227,0)</f>
        <v>0</v>
      </c>
      <c r="AK227" s="16">
        <f>IF(AN227=15,K227,0)</f>
        <v>0</v>
      </c>
      <c r="AL227" s="16">
        <f>IF(AN227=21,K227,0)</f>
        <v>0</v>
      </c>
      <c r="AN227" s="33">
        <v>21</v>
      </c>
      <c r="AO227" s="33">
        <f>H227*0.27567552821112</f>
        <v>0</v>
      </c>
      <c r="AP227" s="33">
        <f>H227*(1-0.27567552821112)</f>
        <v>0</v>
      </c>
      <c r="AQ227" s="27" t="s">
        <v>11</v>
      </c>
      <c r="AV227" s="33">
        <f>AW227+AX227</f>
        <v>0</v>
      </c>
      <c r="AW227" s="33">
        <f>G227*AO227</f>
        <v>0</v>
      </c>
      <c r="AX227" s="33">
        <f>G227*AP227</f>
        <v>0</v>
      </c>
      <c r="AY227" s="34" t="s">
        <v>969</v>
      </c>
      <c r="AZ227" s="34" t="s">
        <v>1004</v>
      </c>
      <c r="BA227" s="28" t="s">
        <v>1007</v>
      </c>
      <c r="BC227" s="33">
        <f>AW227+AX227</f>
        <v>0</v>
      </c>
      <c r="BD227" s="33">
        <f>H227/(100-BE227)*100</f>
        <v>0</v>
      </c>
      <c r="BE227" s="33">
        <v>0</v>
      </c>
      <c r="BF227" s="33">
        <f>231</f>
        <v>231</v>
      </c>
      <c r="BH227" s="16">
        <f>G227*AO227</f>
        <v>0</v>
      </c>
      <c r="BI227" s="16">
        <f>G227*AP227</f>
        <v>0</v>
      </c>
      <c r="BJ227" s="16">
        <f>G227*H227</f>
        <v>0</v>
      </c>
    </row>
    <row r="228" spans="1:62" ht="12.75">
      <c r="A228" s="4" t="s">
        <v>189</v>
      </c>
      <c r="B228" s="4" t="s">
        <v>473</v>
      </c>
      <c r="C228" s="107" t="s">
        <v>784</v>
      </c>
      <c r="D228" s="108"/>
      <c r="E228" s="108"/>
      <c r="F228" s="4" t="s">
        <v>895</v>
      </c>
      <c r="G228" s="16">
        <v>198</v>
      </c>
      <c r="H228" s="16">
        <v>0</v>
      </c>
      <c r="I228" s="16">
        <f>G228*AO228</f>
        <v>0</v>
      </c>
      <c r="J228" s="16">
        <f>G228*AP228</f>
        <v>0</v>
      </c>
      <c r="K228" s="16">
        <f>G228*H228</f>
        <v>0</v>
      </c>
      <c r="L228" s="27" t="s">
        <v>922</v>
      </c>
      <c r="Z228" s="33">
        <f>IF(AQ228="5",BJ228,0)</f>
        <v>0</v>
      </c>
      <c r="AB228" s="33">
        <f>IF(AQ228="1",BH228,0)</f>
        <v>0</v>
      </c>
      <c r="AC228" s="33">
        <f>IF(AQ228="1",BI228,0)</f>
        <v>0</v>
      </c>
      <c r="AD228" s="33">
        <f>IF(AQ228="7",BH228,0)</f>
        <v>0</v>
      </c>
      <c r="AE228" s="33">
        <f>IF(AQ228="7",BI228,0)</f>
        <v>0</v>
      </c>
      <c r="AF228" s="33">
        <f>IF(AQ228="2",BH228,0)</f>
        <v>0</v>
      </c>
      <c r="AG228" s="33">
        <f>IF(AQ228="2",BI228,0)</f>
        <v>0</v>
      </c>
      <c r="AH228" s="33">
        <f>IF(AQ228="0",BJ228,0)</f>
        <v>0</v>
      </c>
      <c r="AI228" s="28"/>
      <c r="AJ228" s="16">
        <f>IF(AN228=0,K228,0)</f>
        <v>0</v>
      </c>
      <c r="AK228" s="16">
        <f>IF(AN228=15,K228,0)</f>
        <v>0</v>
      </c>
      <c r="AL228" s="16">
        <f>IF(AN228=21,K228,0)</f>
        <v>0</v>
      </c>
      <c r="AN228" s="33">
        <v>21</v>
      </c>
      <c r="AO228" s="33">
        <f>H228*0.143821022727273</f>
        <v>0</v>
      </c>
      <c r="AP228" s="33">
        <f>H228*(1-0.143821022727273)</f>
        <v>0</v>
      </c>
      <c r="AQ228" s="27" t="s">
        <v>11</v>
      </c>
      <c r="AV228" s="33">
        <f>AW228+AX228</f>
        <v>0</v>
      </c>
      <c r="AW228" s="33">
        <f>G228*AO228</f>
        <v>0</v>
      </c>
      <c r="AX228" s="33">
        <f>G228*AP228</f>
        <v>0</v>
      </c>
      <c r="AY228" s="34" t="s">
        <v>969</v>
      </c>
      <c r="AZ228" s="34" t="s">
        <v>1004</v>
      </c>
      <c r="BA228" s="28" t="s">
        <v>1007</v>
      </c>
      <c r="BC228" s="33">
        <f>AW228+AX228</f>
        <v>0</v>
      </c>
      <c r="BD228" s="33">
        <f>H228/(100-BE228)*100</f>
        <v>0</v>
      </c>
      <c r="BE228" s="33">
        <v>0</v>
      </c>
      <c r="BF228" s="33">
        <f>232</f>
        <v>232</v>
      </c>
      <c r="BH228" s="16">
        <f>G228*AO228</f>
        <v>0</v>
      </c>
      <c r="BI228" s="16">
        <f>G228*AP228</f>
        <v>0</v>
      </c>
      <c r="BJ228" s="16">
        <f>G228*H228</f>
        <v>0</v>
      </c>
    </row>
    <row r="229" spans="1:47" ht="12.75">
      <c r="A229" s="5"/>
      <c r="B229" s="13" t="s">
        <v>92</v>
      </c>
      <c r="C229" s="109" t="s">
        <v>785</v>
      </c>
      <c r="D229" s="110"/>
      <c r="E229" s="110"/>
      <c r="F229" s="5" t="s">
        <v>6</v>
      </c>
      <c r="G229" s="5" t="s">
        <v>6</v>
      </c>
      <c r="H229" s="5" t="s">
        <v>6</v>
      </c>
      <c r="I229" s="36">
        <f>SUM(I230:I231)</f>
        <v>0</v>
      </c>
      <c r="J229" s="36">
        <f>SUM(J230:J231)</f>
        <v>0</v>
      </c>
      <c r="K229" s="36">
        <f>SUM(K230:K231)</f>
        <v>0</v>
      </c>
      <c r="L229" s="28"/>
      <c r="AI229" s="28"/>
      <c r="AS229" s="36">
        <f>SUM(AJ230:AJ231)</f>
        <v>0</v>
      </c>
      <c r="AT229" s="36">
        <f>SUM(AK230:AK231)</f>
        <v>0</v>
      </c>
      <c r="AU229" s="36">
        <f>SUM(AL230:AL231)</f>
        <v>0</v>
      </c>
    </row>
    <row r="230" spans="1:62" ht="12.75">
      <c r="A230" s="4" t="s">
        <v>190</v>
      </c>
      <c r="B230" s="4" t="s">
        <v>474</v>
      </c>
      <c r="C230" s="107" t="s">
        <v>786</v>
      </c>
      <c r="D230" s="108"/>
      <c r="E230" s="108"/>
      <c r="F230" s="4" t="s">
        <v>899</v>
      </c>
      <c r="G230" s="16">
        <v>18</v>
      </c>
      <c r="H230" s="16">
        <v>0</v>
      </c>
      <c r="I230" s="16">
        <f>G230*AO230</f>
        <v>0</v>
      </c>
      <c r="J230" s="16">
        <f>G230*AP230</f>
        <v>0</v>
      </c>
      <c r="K230" s="16">
        <f>G230*H230</f>
        <v>0</v>
      </c>
      <c r="L230" s="27" t="s">
        <v>923</v>
      </c>
      <c r="Z230" s="33">
        <f>IF(AQ230="5",BJ230,0)</f>
        <v>0</v>
      </c>
      <c r="AB230" s="33">
        <f>IF(AQ230="1",BH230,0)</f>
        <v>0</v>
      </c>
      <c r="AC230" s="33">
        <f>IF(AQ230="1",BI230,0)</f>
        <v>0</v>
      </c>
      <c r="AD230" s="33">
        <f>IF(AQ230="7",BH230,0)</f>
        <v>0</v>
      </c>
      <c r="AE230" s="33">
        <f>IF(AQ230="7",BI230,0)</f>
        <v>0</v>
      </c>
      <c r="AF230" s="33">
        <f>IF(AQ230="2",BH230,0)</f>
        <v>0</v>
      </c>
      <c r="AG230" s="33">
        <f>IF(AQ230="2",BI230,0)</f>
        <v>0</v>
      </c>
      <c r="AH230" s="33">
        <f>IF(AQ230="0",BJ230,0)</f>
        <v>0</v>
      </c>
      <c r="AI230" s="28"/>
      <c r="AJ230" s="16">
        <f>IF(AN230=0,K230,0)</f>
        <v>0</v>
      </c>
      <c r="AK230" s="16">
        <f>IF(AN230=15,K230,0)</f>
        <v>0</v>
      </c>
      <c r="AL230" s="16">
        <f>IF(AN230=21,K230,0)</f>
        <v>0</v>
      </c>
      <c r="AN230" s="33">
        <v>21</v>
      </c>
      <c r="AO230" s="33">
        <f>H230*0.49710407239819</f>
        <v>0</v>
      </c>
      <c r="AP230" s="33">
        <f>H230*(1-0.49710407239819)</f>
        <v>0</v>
      </c>
      <c r="AQ230" s="27" t="s">
        <v>7</v>
      </c>
      <c r="AV230" s="33">
        <f>AW230+AX230</f>
        <v>0</v>
      </c>
      <c r="AW230" s="33">
        <f>G230*AO230</f>
        <v>0</v>
      </c>
      <c r="AX230" s="33">
        <f>G230*AP230</f>
        <v>0</v>
      </c>
      <c r="AY230" s="34" t="s">
        <v>970</v>
      </c>
      <c r="AZ230" s="34" t="s">
        <v>1005</v>
      </c>
      <c r="BA230" s="28" t="s">
        <v>1007</v>
      </c>
      <c r="BC230" s="33">
        <f>AW230+AX230</f>
        <v>0</v>
      </c>
      <c r="BD230" s="33">
        <f>H230/(100-BE230)*100</f>
        <v>0</v>
      </c>
      <c r="BE230" s="33">
        <v>0</v>
      </c>
      <c r="BF230" s="33">
        <f>234</f>
        <v>234</v>
      </c>
      <c r="BH230" s="16">
        <f>G230*AO230</f>
        <v>0</v>
      </c>
      <c r="BI230" s="16">
        <f>G230*AP230</f>
        <v>0</v>
      </c>
      <c r="BJ230" s="16">
        <f>G230*H230</f>
        <v>0</v>
      </c>
    </row>
    <row r="231" spans="1:62" ht="12.75">
      <c r="A231" s="6" t="s">
        <v>191</v>
      </c>
      <c r="B231" s="6" t="s">
        <v>475</v>
      </c>
      <c r="C231" s="111" t="s">
        <v>787</v>
      </c>
      <c r="D231" s="112"/>
      <c r="E231" s="112"/>
      <c r="F231" s="6" t="s">
        <v>898</v>
      </c>
      <c r="G231" s="17">
        <v>6.125</v>
      </c>
      <c r="H231" s="17">
        <v>0</v>
      </c>
      <c r="I231" s="17">
        <f>G231*AO231</f>
        <v>0</v>
      </c>
      <c r="J231" s="17">
        <f>G231*AP231</f>
        <v>0</v>
      </c>
      <c r="K231" s="17">
        <f>G231*H231</f>
        <v>0</v>
      </c>
      <c r="L231" s="29" t="s">
        <v>922</v>
      </c>
      <c r="Z231" s="33">
        <f>IF(AQ231="5",BJ231,0)</f>
        <v>0</v>
      </c>
      <c r="AB231" s="33">
        <f>IF(AQ231="1",BH231,0)</f>
        <v>0</v>
      </c>
      <c r="AC231" s="33">
        <f>IF(AQ231="1",BI231,0)</f>
        <v>0</v>
      </c>
      <c r="AD231" s="33">
        <f>IF(AQ231="7",BH231,0)</f>
        <v>0</v>
      </c>
      <c r="AE231" s="33">
        <f>IF(AQ231="7",BI231,0)</f>
        <v>0</v>
      </c>
      <c r="AF231" s="33">
        <f>IF(AQ231="2",BH231,0)</f>
        <v>0</v>
      </c>
      <c r="AG231" s="33">
        <f>IF(AQ231="2",BI231,0)</f>
        <v>0</v>
      </c>
      <c r="AH231" s="33">
        <f>IF(AQ231="0",BJ231,0)</f>
        <v>0</v>
      </c>
      <c r="AI231" s="28"/>
      <c r="AJ231" s="17">
        <f>IF(AN231=0,K231,0)</f>
        <v>0</v>
      </c>
      <c r="AK231" s="17">
        <f>IF(AN231=15,K231,0)</f>
        <v>0</v>
      </c>
      <c r="AL231" s="17">
        <f>IF(AN231=21,K231,0)</f>
        <v>0</v>
      </c>
      <c r="AN231" s="33">
        <v>21</v>
      </c>
      <c r="AO231" s="33">
        <f>H231*1</f>
        <v>0</v>
      </c>
      <c r="AP231" s="33">
        <f>H231*(1-1)</f>
        <v>0</v>
      </c>
      <c r="AQ231" s="29" t="s">
        <v>7</v>
      </c>
      <c r="AV231" s="33">
        <f>AW231+AX231</f>
        <v>0</v>
      </c>
      <c r="AW231" s="33">
        <f>G231*AO231</f>
        <v>0</v>
      </c>
      <c r="AX231" s="33">
        <f>G231*AP231</f>
        <v>0</v>
      </c>
      <c r="AY231" s="34" t="s">
        <v>970</v>
      </c>
      <c r="AZ231" s="34" t="s">
        <v>1005</v>
      </c>
      <c r="BA231" s="28" t="s">
        <v>1007</v>
      </c>
      <c r="BC231" s="33">
        <f>AW231+AX231</f>
        <v>0</v>
      </c>
      <c r="BD231" s="33">
        <f>H231/(100-BE231)*100</f>
        <v>0</v>
      </c>
      <c r="BE231" s="33">
        <v>0</v>
      </c>
      <c r="BF231" s="33">
        <f>235</f>
        <v>235</v>
      </c>
      <c r="BH231" s="17">
        <f>G231*AO231</f>
        <v>0</v>
      </c>
      <c r="BI231" s="17">
        <f>G231*AP231</f>
        <v>0</v>
      </c>
      <c r="BJ231" s="17">
        <f>G231*H231</f>
        <v>0</v>
      </c>
    </row>
    <row r="232" spans="1:47" ht="12.75">
      <c r="A232" s="5"/>
      <c r="B232" s="13" t="s">
        <v>98</v>
      </c>
      <c r="C232" s="109" t="s">
        <v>788</v>
      </c>
      <c r="D232" s="110"/>
      <c r="E232" s="110"/>
      <c r="F232" s="5" t="s">
        <v>6</v>
      </c>
      <c r="G232" s="5" t="s">
        <v>6</v>
      </c>
      <c r="H232" s="5" t="s">
        <v>6</v>
      </c>
      <c r="I232" s="36">
        <f>SUM(I233:I237)</f>
        <v>0</v>
      </c>
      <c r="J232" s="36">
        <f>SUM(J233:J237)</f>
        <v>0</v>
      </c>
      <c r="K232" s="36">
        <f>SUM(K233:K237)</f>
        <v>0</v>
      </c>
      <c r="L232" s="28"/>
      <c r="AI232" s="28"/>
      <c r="AS232" s="36">
        <f>SUM(AJ233:AJ237)</f>
        <v>0</v>
      </c>
      <c r="AT232" s="36">
        <f>SUM(AK233:AK237)</f>
        <v>0</v>
      </c>
      <c r="AU232" s="36">
        <f>SUM(AL233:AL237)</f>
        <v>0</v>
      </c>
    </row>
    <row r="233" spans="1:62" ht="12.75">
      <c r="A233" s="4" t="s">
        <v>192</v>
      </c>
      <c r="B233" s="4" t="s">
        <v>476</v>
      </c>
      <c r="C233" s="107" t="s">
        <v>789</v>
      </c>
      <c r="D233" s="108"/>
      <c r="E233" s="108"/>
      <c r="F233" s="4" t="s">
        <v>895</v>
      </c>
      <c r="G233" s="16">
        <v>69</v>
      </c>
      <c r="H233" s="16">
        <v>0</v>
      </c>
      <c r="I233" s="16">
        <f>G233*AO233</f>
        <v>0</v>
      </c>
      <c r="J233" s="16">
        <f>G233*AP233</f>
        <v>0</v>
      </c>
      <c r="K233" s="16">
        <f>G233*H233</f>
        <v>0</v>
      </c>
      <c r="L233" s="27" t="s">
        <v>922</v>
      </c>
      <c r="Z233" s="33">
        <f>IF(AQ233="5",BJ233,0)</f>
        <v>0</v>
      </c>
      <c r="AB233" s="33">
        <f>IF(AQ233="1",BH233,0)</f>
        <v>0</v>
      </c>
      <c r="AC233" s="33">
        <f>IF(AQ233="1",BI233,0)</f>
        <v>0</v>
      </c>
      <c r="AD233" s="33">
        <f>IF(AQ233="7",BH233,0)</f>
        <v>0</v>
      </c>
      <c r="AE233" s="33">
        <f>IF(AQ233="7",BI233,0)</f>
        <v>0</v>
      </c>
      <c r="AF233" s="33">
        <f>IF(AQ233="2",BH233,0)</f>
        <v>0</v>
      </c>
      <c r="AG233" s="33">
        <f>IF(AQ233="2",BI233,0)</f>
        <v>0</v>
      </c>
      <c r="AH233" s="33">
        <f>IF(AQ233="0",BJ233,0)</f>
        <v>0</v>
      </c>
      <c r="AI233" s="28"/>
      <c r="AJ233" s="16">
        <f>IF(AN233=0,K233,0)</f>
        <v>0</v>
      </c>
      <c r="AK233" s="16">
        <f>IF(AN233=15,K233,0)</f>
        <v>0</v>
      </c>
      <c r="AL233" s="16">
        <f>IF(AN233=21,K233,0)</f>
        <v>0</v>
      </c>
      <c r="AN233" s="33">
        <v>21</v>
      </c>
      <c r="AO233" s="33">
        <f>H233*0.000315955766192733</f>
        <v>0</v>
      </c>
      <c r="AP233" s="33">
        <f>H233*(1-0.000315955766192733)</f>
        <v>0</v>
      </c>
      <c r="AQ233" s="27" t="s">
        <v>7</v>
      </c>
      <c r="AV233" s="33">
        <f>AW233+AX233</f>
        <v>0</v>
      </c>
      <c r="AW233" s="33">
        <f>G233*AO233</f>
        <v>0</v>
      </c>
      <c r="AX233" s="33">
        <f>G233*AP233</f>
        <v>0</v>
      </c>
      <c r="AY233" s="34" t="s">
        <v>971</v>
      </c>
      <c r="AZ233" s="34" t="s">
        <v>1006</v>
      </c>
      <c r="BA233" s="28" t="s">
        <v>1007</v>
      </c>
      <c r="BC233" s="33">
        <f>AW233+AX233</f>
        <v>0</v>
      </c>
      <c r="BD233" s="33">
        <f>H233/(100-BE233)*100</f>
        <v>0</v>
      </c>
      <c r="BE233" s="33">
        <v>0</v>
      </c>
      <c r="BF233" s="33">
        <f>237</f>
        <v>237</v>
      </c>
      <c r="BH233" s="16">
        <f>G233*AO233</f>
        <v>0</v>
      </c>
      <c r="BI233" s="16">
        <f>G233*AP233</f>
        <v>0</v>
      </c>
      <c r="BJ233" s="16">
        <f>G233*H233</f>
        <v>0</v>
      </c>
    </row>
    <row r="234" spans="1:62" ht="12.75">
      <c r="A234" s="4" t="s">
        <v>193</v>
      </c>
      <c r="B234" s="4" t="s">
        <v>477</v>
      </c>
      <c r="C234" s="107" t="s">
        <v>790</v>
      </c>
      <c r="D234" s="108"/>
      <c r="E234" s="108"/>
      <c r="F234" s="4" t="s">
        <v>895</v>
      </c>
      <c r="G234" s="16">
        <v>103.5</v>
      </c>
      <c r="H234" s="16">
        <v>0</v>
      </c>
      <c r="I234" s="16">
        <f>G234*AO234</f>
        <v>0</v>
      </c>
      <c r="J234" s="16">
        <f>G234*AP234</f>
        <v>0</v>
      </c>
      <c r="K234" s="16">
        <f>G234*H234</f>
        <v>0</v>
      </c>
      <c r="L234" s="27" t="s">
        <v>922</v>
      </c>
      <c r="Z234" s="33">
        <f>IF(AQ234="5",BJ234,0)</f>
        <v>0</v>
      </c>
      <c r="AB234" s="33">
        <f>IF(AQ234="1",BH234,0)</f>
        <v>0</v>
      </c>
      <c r="AC234" s="33">
        <f>IF(AQ234="1",BI234,0)</f>
        <v>0</v>
      </c>
      <c r="AD234" s="33">
        <f>IF(AQ234="7",BH234,0)</f>
        <v>0</v>
      </c>
      <c r="AE234" s="33">
        <f>IF(AQ234="7",BI234,0)</f>
        <v>0</v>
      </c>
      <c r="AF234" s="33">
        <f>IF(AQ234="2",BH234,0)</f>
        <v>0</v>
      </c>
      <c r="AG234" s="33">
        <f>IF(AQ234="2",BI234,0)</f>
        <v>0</v>
      </c>
      <c r="AH234" s="33">
        <f>IF(AQ234="0",BJ234,0)</f>
        <v>0</v>
      </c>
      <c r="AI234" s="28"/>
      <c r="AJ234" s="16">
        <f>IF(AN234=0,K234,0)</f>
        <v>0</v>
      </c>
      <c r="AK234" s="16">
        <f>IF(AN234=15,K234,0)</f>
        <v>0</v>
      </c>
      <c r="AL234" s="16">
        <f>IF(AN234=21,K234,0)</f>
        <v>0</v>
      </c>
      <c r="AN234" s="33">
        <v>21</v>
      </c>
      <c r="AO234" s="33">
        <f>H234*0.911731866536062</f>
        <v>0</v>
      </c>
      <c r="AP234" s="33">
        <f>H234*(1-0.911731866536062)</f>
        <v>0</v>
      </c>
      <c r="AQ234" s="27" t="s">
        <v>7</v>
      </c>
      <c r="AV234" s="33">
        <f>AW234+AX234</f>
        <v>0</v>
      </c>
      <c r="AW234" s="33">
        <f>G234*AO234</f>
        <v>0</v>
      </c>
      <c r="AX234" s="33">
        <f>G234*AP234</f>
        <v>0</v>
      </c>
      <c r="AY234" s="34" t="s">
        <v>971</v>
      </c>
      <c r="AZ234" s="34" t="s">
        <v>1006</v>
      </c>
      <c r="BA234" s="28" t="s">
        <v>1007</v>
      </c>
      <c r="BC234" s="33">
        <f>AW234+AX234</f>
        <v>0</v>
      </c>
      <c r="BD234" s="33">
        <f>H234/(100-BE234)*100</f>
        <v>0</v>
      </c>
      <c r="BE234" s="33">
        <v>0</v>
      </c>
      <c r="BF234" s="33">
        <f>238</f>
        <v>238</v>
      </c>
      <c r="BH234" s="16">
        <f>G234*AO234</f>
        <v>0</v>
      </c>
      <c r="BI234" s="16">
        <f>G234*AP234</f>
        <v>0</v>
      </c>
      <c r="BJ234" s="16">
        <f>G234*H234</f>
        <v>0</v>
      </c>
    </row>
    <row r="235" spans="1:62" ht="12.75">
      <c r="A235" s="4" t="s">
        <v>194</v>
      </c>
      <c r="B235" s="4" t="s">
        <v>478</v>
      </c>
      <c r="C235" s="107" t="s">
        <v>791</v>
      </c>
      <c r="D235" s="108"/>
      <c r="E235" s="108"/>
      <c r="F235" s="4" t="s">
        <v>902</v>
      </c>
      <c r="G235" s="16">
        <v>2760</v>
      </c>
      <c r="H235" s="16">
        <v>0</v>
      </c>
      <c r="I235" s="16">
        <f>G235*AO235</f>
        <v>0</v>
      </c>
      <c r="J235" s="16">
        <f>G235*AP235</f>
        <v>0</v>
      </c>
      <c r="K235" s="16">
        <f>G235*H235</f>
        <v>0</v>
      </c>
      <c r="L235" s="27" t="s">
        <v>923</v>
      </c>
      <c r="Z235" s="33">
        <f>IF(AQ235="5",BJ235,0)</f>
        <v>0</v>
      </c>
      <c r="AB235" s="33">
        <f>IF(AQ235="1",BH235,0)</f>
        <v>0</v>
      </c>
      <c r="AC235" s="33">
        <f>IF(AQ235="1",BI235,0)</f>
        <v>0</v>
      </c>
      <c r="AD235" s="33">
        <f>IF(AQ235="7",BH235,0)</f>
        <v>0</v>
      </c>
      <c r="AE235" s="33">
        <f>IF(AQ235="7",BI235,0)</f>
        <v>0</v>
      </c>
      <c r="AF235" s="33">
        <f>IF(AQ235="2",BH235,0)</f>
        <v>0</v>
      </c>
      <c r="AG235" s="33">
        <f>IF(AQ235="2",BI235,0)</f>
        <v>0</v>
      </c>
      <c r="AH235" s="33">
        <f>IF(AQ235="0",BJ235,0)</f>
        <v>0</v>
      </c>
      <c r="AI235" s="28"/>
      <c r="AJ235" s="16">
        <f>IF(AN235=0,K235,0)</f>
        <v>0</v>
      </c>
      <c r="AK235" s="16">
        <f>IF(AN235=15,K235,0)</f>
        <v>0</v>
      </c>
      <c r="AL235" s="16">
        <f>IF(AN235=21,K235,0)</f>
        <v>0</v>
      </c>
      <c r="AN235" s="33">
        <v>21</v>
      </c>
      <c r="AO235" s="33">
        <f>H235*0</f>
        <v>0</v>
      </c>
      <c r="AP235" s="33">
        <f>H235*(1-0)</f>
        <v>0</v>
      </c>
      <c r="AQ235" s="27" t="s">
        <v>7</v>
      </c>
      <c r="AV235" s="33">
        <f>AW235+AX235</f>
        <v>0</v>
      </c>
      <c r="AW235" s="33">
        <f>G235*AO235</f>
        <v>0</v>
      </c>
      <c r="AX235" s="33">
        <f>G235*AP235</f>
        <v>0</v>
      </c>
      <c r="AY235" s="34" t="s">
        <v>971</v>
      </c>
      <c r="AZ235" s="34" t="s">
        <v>1006</v>
      </c>
      <c r="BA235" s="28" t="s">
        <v>1007</v>
      </c>
      <c r="BC235" s="33">
        <f>AW235+AX235</f>
        <v>0</v>
      </c>
      <c r="BD235" s="33">
        <f>H235/(100-BE235)*100</f>
        <v>0</v>
      </c>
      <c r="BE235" s="33">
        <v>0</v>
      </c>
      <c r="BF235" s="33">
        <f>239</f>
        <v>239</v>
      </c>
      <c r="BH235" s="16">
        <f>G235*AO235</f>
        <v>0</v>
      </c>
      <c r="BI235" s="16">
        <f>G235*AP235</f>
        <v>0</v>
      </c>
      <c r="BJ235" s="16">
        <f>G235*H235</f>
        <v>0</v>
      </c>
    </row>
    <row r="236" spans="1:62" ht="12.75">
      <c r="A236" s="4" t="s">
        <v>195</v>
      </c>
      <c r="B236" s="4" t="s">
        <v>479</v>
      </c>
      <c r="C236" s="107" t="s">
        <v>792</v>
      </c>
      <c r="D236" s="108"/>
      <c r="E236" s="108"/>
      <c r="F236" s="4" t="s">
        <v>895</v>
      </c>
      <c r="G236" s="16">
        <v>69</v>
      </c>
      <c r="H236" s="16">
        <v>0</v>
      </c>
      <c r="I236" s="16">
        <f>G236*AO236</f>
        <v>0</v>
      </c>
      <c r="J236" s="16">
        <f>G236*AP236</f>
        <v>0</v>
      </c>
      <c r="K236" s="16">
        <f>G236*H236</f>
        <v>0</v>
      </c>
      <c r="L236" s="27" t="s">
        <v>922</v>
      </c>
      <c r="Z236" s="33">
        <f>IF(AQ236="5",BJ236,0)</f>
        <v>0</v>
      </c>
      <c r="AB236" s="33">
        <f>IF(AQ236="1",BH236,0)</f>
        <v>0</v>
      </c>
      <c r="AC236" s="33">
        <f>IF(AQ236="1",BI236,0)</f>
        <v>0</v>
      </c>
      <c r="AD236" s="33">
        <f>IF(AQ236="7",BH236,0)</f>
        <v>0</v>
      </c>
      <c r="AE236" s="33">
        <f>IF(AQ236="7",BI236,0)</f>
        <v>0</v>
      </c>
      <c r="AF236" s="33">
        <f>IF(AQ236="2",BH236,0)</f>
        <v>0</v>
      </c>
      <c r="AG236" s="33">
        <f>IF(AQ236="2",BI236,0)</f>
        <v>0</v>
      </c>
      <c r="AH236" s="33">
        <f>IF(AQ236="0",BJ236,0)</f>
        <v>0</v>
      </c>
      <c r="AI236" s="28"/>
      <c r="AJ236" s="16">
        <f>IF(AN236=0,K236,0)</f>
        <v>0</v>
      </c>
      <c r="AK236" s="16">
        <f>IF(AN236=15,K236,0)</f>
        <v>0</v>
      </c>
      <c r="AL236" s="16">
        <f>IF(AN236=21,K236,0)</f>
        <v>0</v>
      </c>
      <c r="AN236" s="33">
        <v>21</v>
      </c>
      <c r="AO236" s="33">
        <f>H236*0</f>
        <v>0</v>
      </c>
      <c r="AP236" s="33">
        <f>H236*(1-0)</f>
        <v>0</v>
      </c>
      <c r="AQ236" s="27" t="s">
        <v>7</v>
      </c>
      <c r="AV236" s="33">
        <f>AW236+AX236</f>
        <v>0</v>
      </c>
      <c r="AW236" s="33">
        <f>G236*AO236</f>
        <v>0</v>
      </c>
      <c r="AX236" s="33">
        <f>G236*AP236</f>
        <v>0</v>
      </c>
      <c r="AY236" s="34" t="s">
        <v>971</v>
      </c>
      <c r="AZ236" s="34" t="s">
        <v>1006</v>
      </c>
      <c r="BA236" s="28" t="s">
        <v>1007</v>
      </c>
      <c r="BC236" s="33">
        <f>AW236+AX236</f>
        <v>0</v>
      </c>
      <c r="BD236" s="33">
        <f>H236/(100-BE236)*100</f>
        <v>0</v>
      </c>
      <c r="BE236" s="33">
        <v>0</v>
      </c>
      <c r="BF236" s="33">
        <f>240</f>
        <v>240</v>
      </c>
      <c r="BH236" s="16">
        <f>G236*AO236</f>
        <v>0</v>
      </c>
      <c r="BI236" s="16">
        <f>G236*AP236</f>
        <v>0</v>
      </c>
      <c r="BJ236" s="16">
        <f>G236*H236</f>
        <v>0</v>
      </c>
    </row>
    <row r="237" spans="1:62" ht="12.75">
      <c r="A237" s="4" t="s">
        <v>196</v>
      </c>
      <c r="B237" s="4" t="s">
        <v>480</v>
      </c>
      <c r="C237" s="107" t="s">
        <v>793</v>
      </c>
      <c r="D237" s="108"/>
      <c r="E237" s="108"/>
      <c r="F237" s="4" t="s">
        <v>895</v>
      </c>
      <c r="G237" s="16">
        <v>83</v>
      </c>
      <c r="H237" s="16">
        <v>0</v>
      </c>
      <c r="I237" s="16">
        <f>G237*AO237</f>
        <v>0</v>
      </c>
      <c r="J237" s="16">
        <f>G237*AP237</f>
        <v>0</v>
      </c>
      <c r="K237" s="16">
        <f>G237*H237</f>
        <v>0</v>
      </c>
      <c r="L237" s="27" t="s">
        <v>922</v>
      </c>
      <c r="Z237" s="33">
        <f>IF(AQ237="5",BJ237,0)</f>
        <v>0</v>
      </c>
      <c r="AB237" s="33">
        <f>IF(AQ237="1",BH237,0)</f>
        <v>0</v>
      </c>
      <c r="AC237" s="33">
        <f>IF(AQ237="1",BI237,0)</f>
        <v>0</v>
      </c>
      <c r="AD237" s="33">
        <f>IF(AQ237="7",BH237,0)</f>
        <v>0</v>
      </c>
      <c r="AE237" s="33">
        <f>IF(AQ237="7",BI237,0)</f>
        <v>0</v>
      </c>
      <c r="AF237" s="33">
        <f>IF(AQ237="2",BH237,0)</f>
        <v>0</v>
      </c>
      <c r="AG237" s="33">
        <f>IF(AQ237="2",BI237,0)</f>
        <v>0</v>
      </c>
      <c r="AH237" s="33">
        <f>IF(AQ237="0",BJ237,0)</f>
        <v>0</v>
      </c>
      <c r="AI237" s="28"/>
      <c r="AJ237" s="16">
        <f>IF(AN237=0,K237,0)</f>
        <v>0</v>
      </c>
      <c r="AK237" s="16">
        <f>IF(AN237=15,K237,0)</f>
        <v>0</v>
      </c>
      <c r="AL237" s="16">
        <f>IF(AN237=21,K237,0)</f>
        <v>0</v>
      </c>
      <c r="AN237" s="33">
        <v>21</v>
      </c>
      <c r="AO237" s="33">
        <f>H237*0.346789667896679</f>
        <v>0</v>
      </c>
      <c r="AP237" s="33">
        <f>H237*(1-0.346789667896679)</f>
        <v>0</v>
      </c>
      <c r="AQ237" s="27" t="s">
        <v>7</v>
      </c>
      <c r="AV237" s="33">
        <f>AW237+AX237</f>
        <v>0</v>
      </c>
      <c r="AW237" s="33">
        <f>G237*AO237</f>
        <v>0</v>
      </c>
      <c r="AX237" s="33">
        <f>G237*AP237</f>
        <v>0</v>
      </c>
      <c r="AY237" s="34" t="s">
        <v>971</v>
      </c>
      <c r="AZ237" s="34" t="s">
        <v>1006</v>
      </c>
      <c r="BA237" s="28" t="s">
        <v>1007</v>
      </c>
      <c r="BC237" s="33">
        <f>AW237+AX237</f>
        <v>0</v>
      </c>
      <c r="BD237" s="33">
        <f>H237/(100-BE237)*100</f>
        <v>0</v>
      </c>
      <c r="BE237" s="33">
        <v>0</v>
      </c>
      <c r="BF237" s="33">
        <f>241</f>
        <v>241</v>
      </c>
      <c r="BH237" s="16">
        <f>G237*AO237</f>
        <v>0</v>
      </c>
      <c r="BI237" s="16">
        <f>G237*AP237</f>
        <v>0</v>
      </c>
      <c r="BJ237" s="16">
        <f>G237*H237</f>
        <v>0</v>
      </c>
    </row>
    <row r="238" spans="1:47" ht="12.75">
      <c r="A238" s="5"/>
      <c r="B238" s="13" t="s">
        <v>99</v>
      </c>
      <c r="C238" s="109" t="s">
        <v>794</v>
      </c>
      <c r="D238" s="110"/>
      <c r="E238" s="110"/>
      <c r="F238" s="5" t="s">
        <v>6</v>
      </c>
      <c r="G238" s="5" t="s">
        <v>6</v>
      </c>
      <c r="H238" s="5" t="s">
        <v>6</v>
      </c>
      <c r="I238" s="36">
        <f>SUM(I239:I239)</f>
        <v>0</v>
      </c>
      <c r="J238" s="36">
        <f>SUM(J239:J239)</f>
        <v>0</v>
      </c>
      <c r="K238" s="36">
        <f>SUM(K239:K239)</f>
        <v>0</v>
      </c>
      <c r="L238" s="28"/>
      <c r="AI238" s="28"/>
      <c r="AS238" s="36">
        <f>SUM(AJ239:AJ239)</f>
        <v>0</v>
      </c>
      <c r="AT238" s="36">
        <f>SUM(AK239:AK239)</f>
        <v>0</v>
      </c>
      <c r="AU238" s="36">
        <f>SUM(AL239:AL239)</f>
        <v>0</v>
      </c>
    </row>
    <row r="239" spans="1:62" ht="12.75">
      <c r="A239" s="4" t="s">
        <v>197</v>
      </c>
      <c r="B239" s="4" t="s">
        <v>481</v>
      </c>
      <c r="C239" s="107" t="s">
        <v>795</v>
      </c>
      <c r="D239" s="108"/>
      <c r="E239" s="108"/>
      <c r="F239" s="4" t="s">
        <v>895</v>
      </c>
      <c r="G239" s="16">
        <v>81.3</v>
      </c>
      <c r="H239" s="16">
        <v>0</v>
      </c>
      <c r="I239" s="16">
        <f>G239*AO239</f>
        <v>0</v>
      </c>
      <c r="J239" s="16">
        <f>G239*AP239</f>
        <v>0</v>
      </c>
      <c r="K239" s="16">
        <f>G239*H239</f>
        <v>0</v>
      </c>
      <c r="L239" s="27" t="s">
        <v>922</v>
      </c>
      <c r="Z239" s="33">
        <f>IF(AQ239="5",BJ239,0)</f>
        <v>0</v>
      </c>
      <c r="AB239" s="33">
        <f>IF(AQ239="1",BH239,0)</f>
        <v>0</v>
      </c>
      <c r="AC239" s="33">
        <f>IF(AQ239="1",BI239,0)</f>
        <v>0</v>
      </c>
      <c r="AD239" s="33">
        <f>IF(AQ239="7",BH239,0)</f>
        <v>0</v>
      </c>
      <c r="AE239" s="33">
        <f>IF(AQ239="7",BI239,0)</f>
        <v>0</v>
      </c>
      <c r="AF239" s="33">
        <f>IF(AQ239="2",BH239,0)</f>
        <v>0</v>
      </c>
      <c r="AG239" s="33">
        <f>IF(AQ239="2",BI239,0)</f>
        <v>0</v>
      </c>
      <c r="AH239" s="33">
        <f>IF(AQ239="0",BJ239,0)</f>
        <v>0</v>
      </c>
      <c r="AI239" s="28"/>
      <c r="AJ239" s="16">
        <f>IF(AN239=0,K239,0)</f>
        <v>0</v>
      </c>
      <c r="AK239" s="16">
        <f>IF(AN239=15,K239,0)</f>
        <v>0</v>
      </c>
      <c r="AL239" s="16">
        <f>IF(AN239=21,K239,0)</f>
        <v>0</v>
      </c>
      <c r="AN239" s="33">
        <v>21</v>
      </c>
      <c r="AO239" s="33">
        <f>H239*0.0118672199170124</f>
        <v>0</v>
      </c>
      <c r="AP239" s="33">
        <f>H239*(1-0.0118672199170124)</f>
        <v>0</v>
      </c>
      <c r="AQ239" s="27" t="s">
        <v>7</v>
      </c>
      <c r="AV239" s="33">
        <f>AW239+AX239</f>
        <v>0</v>
      </c>
      <c r="AW239" s="33">
        <f>G239*AO239</f>
        <v>0</v>
      </c>
      <c r="AX239" s="33">
        <f>G239*AP239</f>
        <v>0</v>
      </c>
      <c r="AY239" s="34" t="s">
        <v>972</v>
      </c>
      <c r="AZ239" s="34" t="s">
        <v>1006</v>
      </c>
      <c r="BA239" s="28" t="s">
        <v>1007</v>
      </c>
      <c r="BC239" s="33">
        <f>AW239+AX239</f>
        <v>0</v>
      </c>
      <c r="BD239" s="33">
        <f>H239/(100-BE239)*100</f>
        <v>0</v>
      </c>
      <c r="BE239" s="33">
        <v>0</v>
      </c>
      <c r="BF239" s="33">
        <f>243</f>
        <v>243</v>
      </c>
      <c r="BH239" s="16">
        <f>G239*AO239</f>
        <v>0</v>
      </c>
      <c r="BI239" s="16">
        <f>G239*AP239</f>
        <v>0</v>
      </c>
      <c r="BJ239" s="16">
        <f>G239*H239</f>
        <v>0</v>
      </c>
    </row>
    <row r="240" spans="1:47" ht="12.75">
      <c r="A240" s="5"/>
      <c r="B240" s="13" t="s">
        <v>100</v>
      </c>
      <c r="C240" s="109" t="s">
        <v>796</v>
      </c>
      <c r="D240" s="110"/>
      <c r="E240" s="110"/>
      <c r="F240" s="5" t="s">
        <v>6</v>
      </c>
      <c r="G240" s="5" t="s">
        <v>6</v>
      </c>
      <c r="H240" s="5" t="s">
        <v>6</v>
      </c>
      <c r="I240" s="36">
        <f>SUM(I241:I255)</f>
        <v>0</v>
      </c>
      <c r="J240" s="36">
        <f>SUM(J241:J255)</f>
        <v>0</v>
      </c>
      <c r="K240" s="36">
        <f>SUM(K241:K255)</f>
        <v>0</v>
      </c>
      <c r="L240" s="28"/>
      <c r="AI240" s="28"/>
      <c r="AS240" s="36">
        <f>SUM(AJ241:AJ255)</f>
        <v>0</v>
      </c>
      <c r="AT240" s="36">
        <f>SUM(AK241:AK255)</f>
        <v>0</v>
      </c>
      <c r="AU240" s="36">
        <f>SUM(AL241:AL255)</f>
        <v>0</v>
      </c>
    </row>
    <row r="241" spans="1:62" ht="12.75">
      <c r="A241" s="4" t="s">
        <v>198</v>
      </c>
      <c r="B241" s="4" t="s">
        <v>482</v>
      </c>
      <c r="C241" s="107" t="s">
        <v>797</v>
      </c>
      <c r="D241" s="108"/>
      <c r="E241" s="108"/>
      <c r="F241" s="4" t="s">
        <v>897</v>
      </c>
      <c r="G241" s="16">
        <v>9.08486</v>
      </c>
      <c r="H241" s="16">
        <v>0</v>
      </c>
      <c r="I241" s="16">
        <f aca="true" t="shared" si="242" ref="I241:I255">G241*AO241</f>
        <v>0</v>
      </c>
      <c r="J241" s="16">
        <f aca="true" t="shared" si="243" ref="J241:J255">G241*AP241</f>
        <v>0</v>
      </c>
      <c r="K241" s="16">
        <f aca="true" t="shared" si="244" ref="K241:K255">G241*H241</f>
        <v>0</v>
      </c>
      <c r="L241" s="27" t="s">
        <v>922</v>
      </c>
      <c r="Z241" s="33">
        <f aca="true" t="shared" si="245" ref="Z241:Z255">IF(AQ241="5",BJ241,0)</f>
        <v>0</v>
      </c>
      <c r="AB241" s="33">
        <f aca="true" t="shared" si="246" ref="AB241:AB255">IF(AQ241="1",BH241,0)</f>
        <v>0</v>
      </c>
      <c r="AC241" s="33">
        <f aca="true" t="shared" si="247" ref="AC241:AC255">IF(AQ241="1",BI241,0)</f>
        <v>0</v>
      </c>
      <c r="AD241" s="33">
        <f aca="true" t="shared" si="248" ref="AD241:AD255">IF(AQ241="7",BH241,0)</f>
        <v>0</v>
      </c>
      <c r="AE241" s="33">
        <f aca="true" t="shared" si="249" ref="AE241:AE255">IF(AQ241="7",BI241,0)</f>
        <v>0</v>
      </c>
      <c r="AF241" s="33">
        <f aca="true" t="shared" si="250" ref="AF241:AF255">IF(AQ241="2",BH241,0)</f>
        <v>0</v>
      </c>
      <c r="AG241" s="33">
        <f aca="true" t="shared" si="251" ref="AG241:AG255">IF(AQ241="2",BI241,0)</f>
        <v>0</v>
      </c>
      <c r="AH241" s="33">
        <f aca="true" t="shared" si="252" ref="AH241:AH255">IF(AQ241="0",BJ241,0)</f>
        <v>0</v>
      </c>
      <c r="AI241" s="28"/>
      <c r="AJ241" s="16">
        <f aca="true" t="shared" si="253" ref="AJ241:AJ255">IF(AN241=0,K241,0)</f>
        <v>0</v>
      </c>
      <c r="AK241" s="16">
        <f aca="true" t="shared" si="254" ref="AK241:AK255">IF(AN241=15,K241,0)</f>
        <v>0</v>
      </c>
      <c r="AL241" s="16">
        <f aca="true" t="shared" si="255" ref="AL241:AL255">IF(AN241=21,K241,0)</f>
        <v>0</v>
      </c>
      <c r="AN241" s="33">
        <v>21</v>
      </c>
      <c r="AO241" s="33">
        <f>H241*0.0325974681901979</f>
        <v>0</v>
      </c>
      <c r="AP241" s="33">
        <f>H241*(1-0.0325974681901979)</f>
        <v>0</v>
      </c>
      <c r="AQ241" s="27" t="s">
        <v>7</v>
      </c>
      <c r="AV241" s="33">
        <f aca="true" t="shared" si="256" ref="AV241:AV255">AW241+AX241</f>
        <v>0</v>
      </c>
      <c r="AW241" s="33">
        <f aca="true" t="shared" si="257" ref="AW241:AW255">G241*AO241</f>
        <v>0</v>
      </c>
      <c r="AX241" s="33">
        <f aca="true" t="shared" si="258" ref="AX241:AX255">G241*AP241</f>
        <v>0</v>
      </c>
      <c r="AY241" s="34" t="s">
        <v>973</v>
      </c>
      <c r="AZ241" s="34" t="s">
        <v>1006</v>
      </c>
      <c r="BA241" s="28" t="s">
        <v>1007</v>
      </c>
      <c r="BC241" s="33">
        <f aca="true" t="shared" si="259" ref="BC241:BC255">AW241+AX241</f>
        <v>0</v>
      </c>
      <c r="BD241" s="33">
        <f aca="true" t="shared" si="260" ref="BD241:BD255">H241/(100-BE241)*100</f>
        <v>0</v>
      </c>
      <c r="BE241" s="33">
        <v>0</v>
      </c>
      <c r="BF241" s="33">
        <f>245</f>
        <v>245</v>
      </c>
      <c r="BH241" s="16">
        <f aca="true" t="shared" si="261" ref="BH241:BH255">G241*AO241</f>
        <v>0</v>
      </c>
      <c r="BI241" s="16">
        <f aca="true" t="shared" si="262" ref="BI241:BI255">G241*AP241</f>
        <v>0</v>
      </c>
      <c r="BJ241" s="16">
        <f aca="true" t="shared" si="263" ref="BJ241:BJ255">G241*H241</f>
        <v>0</v>
      </c>
    </row>
    <row r="242" spans="1:62" ht="12.75">
      <c r="A242" s="4" t="s">
        <v>199</v>
      </c>
      <c r="B242" s="4" t="s">
        <v>483</v>
      </c>
      <c r="C242" s="107" t="s">
        <v>798</v>
      </c>
      <c r="D242" s="108"/>
      <c r="E242" s="108"/>
      <c r="F242" s="4" t="s">
        <v>897</v>
      </c>
      <c r="G242" s="16">
        <v>10.75641</v>
      </c>
      <c r="H242" s="16">
        <v>0</v>
      </c>
      <c r="I242" s="16">
        <f t="shared" si="242"/>
        <v>0</v>
      </c>
      <c r="J242" s="16">
        <f t="shared" si="243"/>
        <v>0</v>
      </c>
      <c r="K242" s="16">
        <f t="shared" si="244"/>
        <v>0</v>
      </c>
      <c r="L242" s="27" t="s">
        <v>922</v>
      </c>
      <c r="Z242" s="33">
        <f t="shared" si="245"/>
        <v>0</v>
      </c>
      <c r="AB242" s="33">
        <f t="shared" si="246"/>
        <v>0</v>
      </c>
      <c r="AC242" s="33">
        <f t="shared" si="247"/>
        <v>0</v>
      </c>
      <c r="AD242" s="33">
        <f t="shared" si="248"/>
        <v>0</v>
      </c>
      <c r="AE242" s="33">
        <f t="shared" si="249"/>
        <v>0</v>
      </c>
      <c r="AF242" s="33">
        <f t="shared" si="250"/>
        <v>0</v>
      </c>
      <c r="AG242" s="33">
        <f t="shared" si="251"/>
        <v>0</v>
      </c>
      <c r="AH242" s="33">
        <f t="shared" si="252"/>
        <v>0</v>
      </c>
      <c r="AI242" s="28"/>
      <c r="AJ242" s="16">
        <f t="shared" si="253"/>
        <v>0</v>
      </c>
      <c r="AK242" s="16">
        <f t="shared" si="254"/>
        <v>0</v>
      </c>
      <c r="AL242" s="16">
        <f t="shared" si="255"/>
        <v>0</v>
      </c>
      <c r="AN242" s="33">
        <v>21</v>
      </c>
      <c r="AO242" s="33">
        <f>H242*0</f>
        <v>0</v>
      </c>
      <c r="AP242" s="33">
        <f>H242*(1-0)</f>
        <v>0</v>
      </c>
      <c r="AQ242" s="27" t="s">
        <v>7</v>
      </c>
      <c r="AV242" s="33">
        <f t="shared" si="256"/>
        <v>0</v>
      </c>
      <c r="AW242" s="33">
        <f t="shared" si="257"/>
        <v>0</v>
      </c>
      <c r="AX242" s="33">
        <f t="shared" si="258"/>
        <v>0</v>
      </c>
      <c r="AY242" s="34" t="s">
        <v>973</v>
      </c>
      <c r="AZ242" s="34" t="s">
        <v>1006</v>
      </c>
      <c r="BA242" s="28" t="s">
        <v>1007</v>
      </c>
      <c r="BC242" s="33">
        <f t="shared" si="259"/>
        <v>0</v>
      </c>
      <c r="BD242" s="33">
        <f t="shared" si="260"/>
        <v>0</v>
      </c>
      <c r="BE242" s="33">
        <v>0</v>
      </c>
      <c r="BF242" s="33">
        <f>246</f>
        <v>246</v>
      </c>
      <c r="BH242" s="16">
        <f t="shared" si="261"/>
        <v>0</v>
      </c>
      <c r="BI242" s="16">
        <f t="shared" si="262"/>
        <v>0</v>
      </c>
      <c r="BJ242" s="16">
        <f t="shared" si="263"/>
        <v>0</v>
      </c>
    </row>
    <row r="243" spans="1:62" ht="12.75">
      <c r="A243" s="4" t="s">
        <v>200</v>
      </c>
      <c r="B243" s="4" t="s">
        <v>484</v>
      </c>
      <c r="C243" s="107" t="s">
        <v>799</v>
      </c>
      <c r="D243" s="108"/>
      <c r="E243" s="108"/>
      <c r="F243" s="4" t="s">
        <v>899</v>
      </c>
      <c r="G243" s="16">
        <v>49.5</v>
      </c>
      <c r="H243" s="16">
        <v>0</v>
      </c>
      <c r="I243" s="16">
        <f t="shared" si="242"/>
        <v>0</v>
      </c>
      <c r="J243" s="16">
        <f t="shared" si="243"/>
        <v>0</v>
      </c>
      <c r="K243" s="16">
        <f t="shared" si="244"/>
        <v>0</v>
      </c>
      <c r="L243" s="27" t="s">
        <v>922</v>
      </c>
      <c r="Z243" s="33">
        <f t="shared" si="245"/>
        <v>0</v>
      </c>
      <c r="AB243" s="33">
        <f t="shared" si="246"/>
        <v>0</v>
      </c>
      <c r="AC243" s="33">
        <f t="shared" si="247"/>
        <v>0</v>
      </c>
      <c r="AD243" s="33">
        <f t="shared" si="248"/>
        <v>0</v>
      </c>
      <c r="AE243" s="33">
        <f t="shared" si="249"/>
        <v>0</v>
      </c>
      <c r="AF243" s="33">
        <f t="shared" si="250"/>
        <v>0</v>
      </c>
      <c r="AG243" s="33">
        <f t="shared" si="251"/>
        <v>0</v>
      </c>
      <c r="AH243" s="33">
        <f t="shared" si="252"/>
        <v>0</v>
      </c>
      <c r="AI243" s="28"/>
      <c r="AJ243" s="16">
        <f t="shared" si="253"/>
        <v>0</v>
      </c>
      <c r="AK243" s="16">
        <f t="shared" si="254"/>
        <v>0</v>
      </c>
      <c r="AL243" s="16">
        <f t="shared" si="255"/>
        <v>0</v>
      </c>
      <c r="AN243" s="33">
        <v>21</v>
      </c>
      <c r="AO243" s="33">
        <f>H243*0.0578125</f>
        <v>0</v>
      </c>
      <c r="AP243" s="33">
        <f>H243*(1-0.0578125)</f>
        <v>0</v>
      </c>
      <c r="AQ243" s="27" t="s">
        <v>7</v>
      </c>
      <c r="AV243" s="33">
        <f t="shared" si="256"/>
        <v>0</v>
      </c>
      <c r="AW243" s="33">
        <f t="shared" si="257"/>
        <v>0</v>
      </c>
      <c r="AX243" s="33">
        <f t="shared" si="258"/>
        <v>0</v>
      </c>
      <c r="AY243" s="34" t="s">
        <v>973</v>
      </c>
      <c r="AZ243" s="34" t="s">
        <v>1006</v>
      </c>
      <c r="BA243" s="28" t="s">
        <v>1007</v>
      </c>
      <c r="BC243" s="33">
        <f t="shared" si="259"/>
        <v>0</v>
      </c>
      <c r="BD243" s="33">
        <f t="shared" si="260"/>
        <v>0</v>
      </c>
      <c r="BE243" s="33">
        <v>0</v>
      </c>
      <c r="BF243" s="33">
        <f>247</f>
        <v>247</v>
      </c>
      <c r="BH243" s="16">
        <f t="shared" si="261"/>
        <v>0</v>
      </c>
      <c r="BI243" s="16">
        <f t="shared" si="262"/>
        <v>0</v>
      </c>
      <c r="BJ243" s="16">
        <f t="shared" si="263"/>
        <v>0</v>
      </c>
    </row>
    <row r="244" spans="1:62" ht="12.75">
      <c r="A244" s="4" t="s">
        <v>201</v>
      </c>
      <c r="B244" s="4" t="s">
        <v>485</v>
      </c>
      <c r="C244" s="107" t="s">
        <v>800</v>
      </c>
      <c r="D244" s="108"/>
      <c r="E244" s="108"/>
      <c r="F244" s="4" t="s">
        <v>895</v>
      </c>
      <c r="G244" s="16">
        <v>49.5</v>
      </c>
      <c r="H244" s="16">
        <v>0</v>
      </c>
      <c r="I244" s="16">
        <f t="shared" si="242"/>
        <v>0</v>
      </c>
      <c r="J244" s="16">
        <f t="shared" si="243"/>
        <v>0</v>
      </c>
      <c r="K244" s="16">
        <f t="shared" si="244"/>
        <v>0</v>
      </c>
      <c r="L244" s="27" t="s">
        <v>922</v>
      </c>
      <c r="Z244" s="33">
        <f t="shared" si="245"/>
        <v>0</v>
      </c>
      <c r="AB244" s="33">
        <f t="shared" si="246"/>
        <v>0</v>
      </c>
      <c r="AC244" s="33">
        <f t="shared" si="247"/>
        <v>0</v>
      </c>
      <c r="AD244" s="33">
        <f t="shared" si="248"/>
        <v>0</v>
      </c>
      <c r="AE244" s="33">
        <f t="shared" si="249"/>
        <v>0</v>
      </c>
      <c r="AF244" s="33">
        <f t="shared" si="250"/>
        <v>0</v>
      </c>
      <c r="AG244" s="33">
        <f t="shared" si="251"/>
        <v>0</v>
      </c>
      <c r="AH244" s="33">
        <f t="shared" si="252"/>
        <v>0</v>
      </c>
      <c r="AI244" s="28"/>
      <c r="AJ244" s="16">
        <f t="shared" si="253"/>
        <v>0</v>
      </c>
      <c r="AK244" s="16">
        <f t="shared" si="254"/>
        <v>0</v>
      </c>
      <c r="AL244" s="16">
        <f t="shared" si="255"/>
        <v>0</v>
      </c>
      <c r="AN244" s="33">
        <v>21</v>
      </c>
      <c r="AO244" s="33">
        <f>H244*0</f>
        <v>0</v>
      </c>
      <c r="AP244" s="33">
        <f>H244*(1-0)</f>
        <v>0</v>
      </c>
      <c r="AQ244" s="27" t="s">
        <v>7</v>
      </c>
      <c r="AV244" s="33">
        <f t="shared" si="256"/>
        <v>0</v>
      </c>
      <c r="AW244" s="33">
        <f t="shared" si="257"/>
        <v>0</v>
      </c>
      <c r="AX244" s="33">
        <f t="shared" si="258"/>
        <v>0</v>
      </c>
      <c r="AY244" s="34" t="s">
        <v>973</v>
      </c>
      <c r="AZ244" s="34" t="s">
        <v>1006</v>
      </c>
      <c r="BA244" s="28" t="s">
        <v>1007</v>
      </c>
      <c r="BC244" s="33">
        <f t="shared" si="259"/>
        <v>0</v>
      </c>
      <c r="BD244" s="33">
        <f t="shared" si="260"/>
        <v>0</v>
      </c>
      <c r="BE244" s="33">
        <v>0</v>
      </c>
      <c r="BF244" s="33">
        <f>248</f>
        <v>248</v>
      </c>
      <c r="BH244" s="16">
        <f t="shared" si="261"/>
        <v>0</v>
      </c>
      <c r="BI244" s="16">
        <f t="shared" si="262"/>
        <v>0</v>
      </c>
      <c r="BJ244" s="16">
        <f t="shared" si="263"/>
        <v>0</v>
      </c>
    </row>
    <row r="245" spans="1:62" ht="12.75">
      <c r="A245" s="4" t="s">
        <v>202</v>
      </c>
      <c r="B245" s="4" t="s">
        <v>486</v>
      </c>
      <c r="C245" s="107" t="s">
        <v>801</v>
      </c>
      <c r="D245" s="108"/>
      <c r="E245" s="108"/>
      <c r="F245" s="4" t="s">
        <v>895</v>
      </c>
      <c r="G245" s="16">
        <v>49</v>
      </c>
      <c r="H245" s="16">
        <v>0</v>
      </c>
      <c r="I245" s="16">
        <f t="shared" si="242"/>
        <v>0</v>
      </c>
      <c r="J245" s="16">
        <f t="shared" si="243"/>
        <v>0</v>
      </c>
      <c r="K245" s="16">
        <f t="shared" si="244"/>
        <v>0</v>
      </c>
      <c r="L245" s="27" t="s">
        <v>922</v>
      </c>
      <c r="Z245" s="33">
        <f t="shared" si="245"/>
        <v>0</v>
      </c>
      <c r="AB245" s="33">
        <f t="shared" si="246"/>
        <v>0</v>
      </c>
      <c r="AC245" s="33">
        <f t="shared" si="247"/>
        <v>0</v>
      </c>
      <c r="AD245" s="33">
        <f t="shared" si="248"/>
        <v>0</v>
      </c>
      <c r="AE245" s="33">
        <f t="shared" si="249"/>
        <v>0</v>
      </c>
      <c r="AF245" s="33">
        <f t="shared" si="250"/>
        <v>0</v>
      </c>
      <c r="AG245" s="33">
        <f t="shared" si="251"/>
        <v>0</v>
      </c>
      <c r="AH245" s="33">
        <f t="shared" si="252"/>
        <v>0</v>
      </c>
      <c r="AI245" s="28"/>
      <c r="AJ245" s="16">
        <f t="shared" si="253"/>
        <v>0</v>
      </c>
      <c r="AK245" s="16">
        <f t="shared" si="254"/>
        <v>0</v>
      </c>
      <c r="AL245" s="16">
        <f t="shared" si="255"/>
        <v>0</v>
      </c>
      <c r="AN245" s="33">
        <v>21</v>
      </c>
      <c r="AO245" s="33">
        <f>H245*0.0505464480874317</f>
        <v>0</v>
      </c>
      <c r="AP245" s="33">
        <f>H245*(1-0.0505464480874317)</f>
        <v>0</v>
      </c>
      <c r="AQ245" s="27" t="s">
        <v>7</v>
      </c>
      <c r="AV245" s="33">
        <f t="shared" si="256"/>
        <v>0</v>
      </c>
      <c r="AW245" s="33">
        <f t="shared" si="257"/>
        <v>0</v>
      </c>
      <c r="AX245" s="33">
        <f t="shared" si="258"/>
        <v>0</v>
      </c>
      <c r="AY245" s="34" t="s">
        <v>973</v>
      </c>
      <c r="AZ245" s="34" t="s">
        <v>1006</v>
      </c>
      <c r="BA245" s="28" t="s">
        <v>1007</v>
      </c>
      <c r="BC245" s="33">
        <f t="shared" si="259"/>
        <v>0</v>
      </c>
      <c r="BD245" s="33">
        <f t="shared" si="260"/>
        <v>0</v>
      </c>
      <c r="BE245" s="33">
        <v>0</v>
      </c>
      <c r="BF245" s="33">
        <f>249</f>
        <v>249</v>
      </c>
      <c r="BH245" s="16">
        <f t="shared" si="261"/>
        <v>0</v>
      </c>
      <c r="BI245" s="16">
        <f t="shared" si="262"/>
        <v>0</v>
      </c>
      <c r="BJ245" s="16">
        <f t="shared" si="263"/>
        <v>0</v>
      </c>
    </row>
    <row r="246" spans="1:62" ht="12.75">
      <c r="A246" s="4" t="s">
        <v>203</v>
      </c>
      <c r="B246" s="4" t="s">
        <v>487</v>
      </c>
      <c r="C246" s="107" t="s">
        <v>802</v>
      </c>
      <c r="D246" s="108"/>
      <c r="E246" s="108"/>
      <c r="F246" s="4" t="s">
        <v>895</v>
      </c>
      <c r="G246" s="16">
        <v>49.5</v>
      </c>
      <c r="H246" s="16">
        <v>0</v>
      </c>
      <c r="I246" s="16">
        <f t="shared" si="242"/>
        <v>0</v>
      </c>
      <c r="J246" s="16">
        <f t="shared" si="243"/>
        <v>0</v>
      </c>
      <c r="K246" s="16">
        <f t="shared" si="244"/>
        <v>0</v>
      </c>
      <c r="L246" s="27" t="s">
        <v>922</v>
      </c>
      <c r="Z246" s="33">
        <f t="shared" si="245"/>
        <v>0</v>
      </c>
      <c r="AB246" s="33">
        <f t="shared" si="246"/>
        <v>0</v>
      </c>
      <c r="AC246" s="33">
        <f t="shared" si="247"/>
        <v>0</v>
      </c>
      <c r="AD246" s="33">
        <f t="shared" si="248"/>
        <v>0</v>
      </c>
      <c r="AE246" s="33">
        <f t="shared" si="249"/>
        <v>0</v>
      </c>
      <c r="AF246" s="33">
        <f t="shared" si="250"/>
        <v>0</v>
      </c>
      <c r="AG246" s="33">
        <f t="shared" si="251"/>
        <v>0</v>
      </c>
      <c r="AH246" s="33">
        <f t="shared" si="252"/>
        <v>0</v>
      </c>
      <c r="AI246" s="28"/>
      <c r="AJ246" s="16">
        <f t="shared" si="253"/>
        <v>0</v>
      </c>
      <c r="AK246" s="16">
        <f t="shared" si="254"/>
        <v>0</v>
      </c>
      <c r="AL246" s="16">
        <f t="shared" si="255"/>
        <v>0</v>
      </c>
      <c r="AN246" s="33">
        <v>21</v>
      </c>
      <c r="AO246" s="33">
        <f>H246*0</f>
        <v>0</v>
      </c>
      <c r="AP246" s="33">
        <f>H246*(1-0)</f>
        <v>0</v>
      </c>
      <c r="AQ246" s="27" t="s">
        <v>7</v>
      </c>
      <c r="AV246" s="33">
        <f t="shared" si="256"/>
        <v>0</v>
      </c>
      <c r="AW246" s="33">
        <f t="shared" si="257"/>
        <v>0</v>
      </c>
      <c r="AX246" s="33">
        <f t="shared" si="258"/>
        <v>0</v>
      </c>
      <c r="AY246" s="34" t="s">
        <v>973</v>
      </c>
      <c r="AZ246" s="34" t="s">
        <v>1006</v>
      </c>
      <c r="BA246" s="28" t="s">
        <v>1007</v>
      </c>
      <c r="BC246" s="33">
        <f t="shared" si="259"/>
        <v>0</v>
      </c>
      <c r="BD246" s="33">
        <f t="shared" si="260"/>
        <v>0</v>
      </c>
      <c r="BE246" s="33">
        <v>0</v>
      </c>
      <c r="BF246" s="33">
        <f>250</f>
        <v>250</v>
      </c>
      <c r="BH246" s="16">
        <f t="shared" si="261"/>
        <v>0</v>
      </c>
      <c r="BI246" s="16">
        <f t="shared" si="262"/>
        <v>0</v>
      </c>
      <c r="BJ246" s="16">
        <f t="shared" si="263"/>
        <v>0</v>
      </c>
    </row>
    <row r="247" spans="1:62" ht="12.75">
      <c r="A247" s="4" t="s">
        <v>204</v>
      </c>
      <c r="B247" s="4" t="s">
        <v>488</v>
      </c>
      <c r="C247" s="107" t="s">
        <v>803</v>
      </c>
      <c r="D247" s="108"/>
      <c r="E247" s="108"/>
      <c r="F247" s="4" t="s">
        <v>895</v>
      </c>
      <c r="G247" s="16">
        <v>5.55</v>
      </c>
      <c r="H247" s="16">
        <v>0</v>
      </c>
      <c r="I247" s="16">
        <f t="shared" si="242"/>
        <v>0</v>
      </c>
      <c r="J247" s="16">
        <f t="shared" si="243"/>
        <v>0</v>
      </c>
      <c r="K247" s="16">
        <f t="shared" si="244"/>
        <v>0</v>
      </c>
      <c r="L247" s="27" t="s">
        <v>922</v>
      </c>
      <c r="Z247" s="33">
        <f t="shared" si="245"/>
        <v>0</v>
      </c>
      <c r="AB247" s="33">
        <f t="shared" si="246"/>
        <v>0</v>
      </c>
      <c r="AC247" s="33">
        <f t="shared" si="247"/>
        <v>0</v>
      </c>
      <c r="AD247" s="33">
        <f t="shared" si="248"/>
        <v>0</v>
      </c>
      <c r="AE247" s="33">
        <f t="shared" si="249"/>
        <v>0</v>
      </c>
      <c r="AF247" s="33">
        <f t="shared" si="250"/>
        <v>0</v>
      </c>
      <c r="AG247" s="33">
        <f t="shared" si="251"/>
        <v>0</v>
      </c>
      <c r="AH247" s="33">
        <f t="shared" si="252"/>
        <v>0</v>
      </c>
      <c r="AI247" s="28"/>
      <c r="AJ247" s="16">
        <f t="shared" si="253"/>
        <v>0</v>
      </c>
      <c r="AK247" s="16">
        <f t="shared" si="254"/>
        <v>0</v>
      </c>
      <c r="AL247" s="16">
        <f t="shared" si="255"/>
        <v>0</v>
      </c>
      <c r="AN247" s="33">
        <v>21</v>
      </c>
      <c r="AO247" s="33">
        <f>H247*0.094153324167295</f>
        <v>0</v>
      </c>
      <c r="AP247" s="33">
        <f>H247*(1-0.094153324167295)</f>
        <v>0</v>
      </c>
      <c r="AQ247" s="27" t="s">
        <v>7</v>
      </c>
      <c r="AV247" s="33">
        <f t="shared" si="256"/>
        <v>0</v>
      </c>
      <c r="AW247" s="33">
        <f t="shared" si="257"/>
        <v>0</v>
      </c>
      <c r="AX247" s="33">
        <f t="shared" si="258"/>
        <v>0</v>
      </c>
      <c r="AY247" s="34" t="s">
        <v>973</v>
      </c>
      <c r="AZ247" s="34" t="s">
        <v>1006</v>
      </c>
      <c r="BA247" s="28" t="s">
        <v>1007</v>
      </c>
      <c r="BC247" s="33">
        <f t="shared" si="259"/>
        <v>0</v>
      </c>
      <c r="BD247" s="33">
        <f t="shared" si="260"/>
        <v>0</v>
      </c>
      <c r="BE247" s="33">
        <v>0</v>
      </c>
      <c r="BF247" s="33">
        <f>251</f>
        <v>251</v>
      </c>
      <c r="BH247" s="16">
        <f t="shared" si="261"/>
        <v>0</v>
      </c>
      <c r="BI247" s="16">
        <f t="shared" si="262"/>
        <v>0</v>
      </c>
      <c r="BJ247" s="16">
        <f t="shared" si="263"/>
        <v>0</v>
      </c>
    </row>
    <row r="248" spans="1:62" ht="12.75">
      <c r="A248" s="4" t="s">
        <v>205</v>
      </c>
      <c r="B248" s="4" t="s">
        <v>489</v>
      </c>
      <c r="C248" s="107" t="s">
        <v>804</v>
      </c>
      <c r="D248" s="108"/>
      <c r="E248" s="108"/>
      <c r="F248" s="4" t="s">
        <v>896</v>
      </c>
      <c r="G248" s="16">
        <v>3</v>
      </c>
      <c r="H248" s="16">
        <v>0</v>
      </c>
      <c r="I248" s="16">
        <f t="shared" si="242"/>
        <v>0</v>
      </c>
      <c r="J248" s="16">
        <f t="shared" si="243"/>
        <v>0</v>
      </c>
      <c r="K248" s="16">
        <f t="shared" si="244"/>
        <v>0</v>
      </c>
      <c r="L248" s="27" t="s">
        <v>922</v>
      </c>
      <c r="Z248" s="33">
        <f t="shared" si="245"/>
        <v>0</v>
      </c>
      <c r="AB248" s="33">
        <f t="shared" si="246"/>
        <v>0</v>
      </c>
      <c r="AC248" s="33">
        <f t="shared" si="247"/>
        <v>0</v>
      </c>
      <c r="AD248" s="33">
        <f t="shared" si="248"/>
        <v>0</v>
      </c>
      <c r="AE248" s="33">
        <f t="shared" si="249"/>
        <v>0</v>
      </c>
      <c r="AF248" s="33">
        <f t="shared" si="250"/>
        <v>0</v>
      </c>
      <c r="AG248" s="33">
        <f t="shared" si="251"/>
        <v>0</v>
      </c>
      <c r="AH248" s="33">
        <f t="shared" si="252"/>
        <v>0</v>
      </c>
      <c r="AI248" s="28"/>
      <c r="AJ248" s="16">
        <f t="shared" si="253"/>
        <v>0</v>
      </c>
      <c r="AK248" s="16">
        <f t="shared" si="254"/>
        <v>0</v>
      </c>
      <c r="AL248" s="16">
        <f t="shared" si="255"/>
        <v>0</v>
      </c>
      <c r="AN248" s="33">
        <v>21</v>
      </c>
      <c r="AO248" s="33">
        <f>H248*0</f>
        <v>0</v>
      </c>
      <c r="AP248" s="33">
        <f>H248*(1-0)</f>
        <v>0</v>
      </c>
      <c r="AQ248" s="27" t="s">
        <v>7</v>
      </c>
      <c r="AV248" s="33">
        <f t="shared" si="256"/>
        <v>0</v>
      </c>
      <c r="AW248" s="33">
        <f t="shared" si="257"/>
        <v>0</v>
      </c>
      <c r="AX248" s="33">
        <f t="shared" si="258"/>
        <v>0</v>
      </c>
      <c r="AY248" s="34" t="s">
        <v>973</v>
      </c>
      <c r="AZ248" s="34" t="s">
        <v>1006</v>
      </c>
      <c r="BA248" s="28" t="s">
        <v>1007</v>
      </c>
      <c r="BC248" s="33">
        <f t="shared" si="259"/>
        <v>0</v>
      </c>
      <c r="BD248" s="33">
        <f t="shared" si="260"/>
        <v>0</v>
      </c>
      <c r="BE248" s="33">
        <v>0</v>
      </c>
      <c r="BF248" s="33">
        <f>252</f>
        <v>252</v>
      </c>
      <c r="BH248" s="16">
        <f t="shared" si="261"/>
        <v>0</v>
      </c>
      <c r="BI248" s="16">
        <f t="shared" si="262"/>
        <v>0</v>
      </c>
      <c r="BJ248" s="16">
        <f t="shared" si="263"/>
        <v>0</v>
      </c>
    </row>
    <row r="249" spans="1:62" ht="12.75">
      <c r="A249" s="4" t="s">
        <v>206</v>
      </c>
      <c r="B249" s="4" t="s">
        <v>490</v>
      </c>
      <c r="C249" s="107" t="s">
        <v>805</v>
      </c>
      <c r="D249" s="108"/>
      <c r="E249" s="108"/>
      <c r="F249" s="4" t="s">
        <v>895</v>
      </c>
      <c r="G249" s="16">
        <v>6.264</v>
      </c>
      <c r="H249" s="16">
        <v>0</v>
      </c>
      <c r="I249" s="16">
        <f t="shared" si="242"/>
        <v>0</v>
      </c>
      <c r="J249" s="16">
        <f t="shared" si="243"/>
        <v>0</v>
      </c>
      <c r="K249" s="16">
        <f t="shared" si="244"/>
        <v>0</v>
      </c>
      <c r="L249" s="27" t="s">
        <v>922</v>
      </c>
      <c r="Z249" s="33">
        <f t="shared" si="245"/>
        <v>0</v>
      </c>
      <c r="AB249" s="33">
        <f t="shared" si="246"/>
        <v>0</v>
      </c>
      <c r="AC249" s="33">
        <f t="shared" si="247"/>
        <v>0</v>
      </c>
      <c r="AD249" s="33">
        <f t="shared" si="248"/>
        <v>0</v>
      </c>
      <c r="AE249" s="33">
        <f t="shared" si="249"/>
        <v>0</v>
      </c>
      <c r="AF249" s="33">
        <f t="shared" si="250"/>
        <v>0</v>
      </c>
      <c r="AG249" s="33">
        <f t="shared" si="251"/>
        <v>0</v>
      </c>
      <c r="AH249" s="33">
        <f t="shared" si="252"/>
        <v>0</v>
      </c>
      <c r="AI249" s="28"/>
      <c r="AJ249" s="16">
        <f t="shared" si="253"/>
        <v>0</v>
      </c>
      <c r="AK249" s="16">
        <f t="shared" si="254"/>
        <v>0</v>
      </c>
      <c r="AL249" s="16">
        <f t="shared" si="255"/>
        <v>0</v>
      </c>
      <c r="AN249" s="33">
        <v>21</v>
      </c>
      <c r="AO249" s="33">
        <f>H249*0.153845825280041</f>
        <v>0</v>
      </c>
      <c r="AP249" s="33">
        <f>H249*(1-0.153845825280041)</f>
        <v>0</v>
      </c>
      <c r="AQ249" s="27" t="s">
        <v>7</v>
      </c>
      <c r="AV249" s="33">
        <f t="shared" si="256"/>
        <v>0</v>
      </c>
      <c r="AW249" s="33">
        <f t="shared" si="257"/>
        <v>0</v>
      </c>
      <c r="AX249" s="33">
        <f t="shared" si="258"/>
        <v>0</v>
      </c>
      <c r="AY249" s="34" t="s">
        <v>973</v>
      </c>
      <c r="AZ249" s="34" t="s">
        <v>1006</v>
      </c>
      <c r="BA249" s="28" t="s">
        <v>1007</v>
      </c>
      <c r="BC249" s="33">
        <f t="shared" si="259"/>
        <v>0</v>
      </c>
      <c r="BD249" s="33">
        <f t="shared" si="260"/>
        <v>0</v>
      </c>
      <c r="BE249" s="33">
        <v>0</v>
      </c>
      <c r="BF249" s="33">
        <f>253</f>
        <v>253</v>
      </c>
      <c r="BH249" s="16">
        <f t="shared" si="261"/>
        <v>0</v>
      </c>
      <c r="BI249" s="16">
        <f t="shared" si="262"/>
        <v>0</v>
      </c>
      <c r="BJ249" s="16">
        <f t="shared" si="263"/>
        <v>0</v>
      </c>
    </row>
    <row r="250" spans="1:62" ht="12.75">
      <c r="A250" s="4" t="s">
        <v>207</v>
      </c>
      <c r="B250" s="4" t="s">
        <v>491</v>
      </c>
      <c r="C250" s="107" t="s">
        <v>806</v>
      </c>
      <c r="D250" s="108"/>
      <c r="E250" s="108"/>
      <c r="F250" s="4" t="s">
        <v>896</v>
      </c>
      <c r="G250" s="16">
        <v>1</v>
      </c>
      <c r="H250" s="16">
        <v>0</v>
      </c>
      <c r="I250" s="16">
        <f t="shared" si="242"/>
        <v>0</v>
      </c>
      <c r="J250" s="16">
        <f t="shared" si="243"/>
        <v>0</v>
      </c>
      <c r="K250" s="16">
        <f t="shared" si="244"/>
        <v>0</v>
      </c>
      <c r="L250" s="27" t="s">
        <v>922</v>
      </c>
      <c r="Z250" s="33">
        <f t="shared" si="245"/>
        <v>0</v>
      </c>
      <c r="AB250" s="33">
        <f t="shared" si="246"/>
        <v>0</v>
      </c>
      <c r="AC250" s="33">
        <f t="shared" si="247"/>
        <v>0</v>
      </c>
      <c r="AD250" s="33">
        <f t="shared" si="248"/>
        <v>0</v>
      </c>
      <c r="AE250" s="33">
        <f t="shared" si="249"/>
        <v>0</v>
      </c>
      <c r="AF250" s="33">
        <f t="shared" si="250"/>
        <v>0</v>
      </c>
      <c r="AG250" s="33">
        <f t="shared" si="251"/>
        <v>0</v>
      </c>
      <c r="AH250" s="33">
        <f t="shared" si="252"/>
        <v>0</v>
      </c>
      <c r="AI250" s="28"/>
      <c r="AJ250" s="16">
        <f t="shared" si="253"/>
        <v>0</v>
      </c>
      <c r="AK250" s="16">
        <f t="shared" si="254"/>
        <v>0</v>
      </c>
      <c r="AL250" s="16">
        <f t="shared" si="255"/>
        <v>0</v>
      </c>
      <c r="AN250" s="33">
        <v>21</v>
      </c>
      <c r="AO250" s="33">
        <f>H250*0</f>
        <v>0</v>
      </c>
      <c r="AP250" s="33">
        <f>H250*(1-0)</f>
        <v>0</v>
      </c>
      <c r="AQ250" s="27" t="s">
        <v>7</v>
      </c>
      <c r="AV250" s="33">
        <f t="shared" si="256"/>
        <v>0</v>
      </c>
      <c r="AW250" s="33">
        <f t="shared" si="257"/>
        <v>0</v>
      </c>
      <c r="AX250" s="33">
        <f t="shared" si="258"/>
        <v>0</v>
      </c>
      <c r="AY250" s="34" t="s">
        <v>973</v>
      </c>
      <c r="AZ250" s="34" t="s">
        <v>1006</v>
      </c>
      <c r="BA250" s="28" t="s">
        <v>1007</v>
      </c>
      <c r="BC250" s="33">
        <f t="shared" si="259"/>
        <v>0</v>
      </c>
      <c r="BD250" s="33">
        <f t="shared" si="260"/>
        <v>0</v>
      </c>
      <c r="BE250" s="33">
        <v>0</v>
      </c>
      <c r="BF250" s="33">
        <f>254</f>
        <v>254</v>
      </c>
      <c r="BH250" s="16">
        <f t="shared" si="261"/>
        <v>0</v>
      </c>
      <c r="BI250" s="16">
        <f t="shared" si="262"/>
        <v>0</v>
      </c>
      <c r="BJ250" s="16">
        <f t="shared" si="263"/>
        <v>0</v>
      </c>
    </row>
    <row r="251" spans="1:62" ht="12.75">
      <c r="A251" s="4" t="s">
        <v>208</v>
      </c>
      <c r="B251" s="4" t="s">
        <v>492</v>
      </c>
      <c r="C251" s="107" t="s">
        <v>807</v>
      </c>
      <c r="D251" s="108"/>
      <c r="E251" s="108"/>
      <c r="F251" s="4" t="s">
        <v>895</v>
      </c>
      <c r="G251" s="16">
        <v>2</v>
      </c>
      <c r="H251" s="16">
        <v>0</v>
      </c>
      <c r="I251" s="16">
        <f t="shared" si="242"/>
        <v>0</v>
      </c>
      <c r="J251" s="16">
        <f t="shared" si="243"/>
        <v>0</v>
      </c>
      <c r="K251" s="16">
        <f t="shared" si="244"/>
        <v>0</v>
      </c>
      <c r="L251" s="27" t="s">
        <v>922</v>
      </c>
      <c r="Z251" s="33">
        <f t="shared" si="245"/>
        <v>0</v>
      </c>
      <c r="AB251" s="33">
        <f t="shared" si="246"/>
        <v>0</v>
      </c>
      <c r="AC251" s="33">
        <f t="shared" si="247"/>
        <v>0</v>
      </c>
      <c r="AD251" s="33">
        <f t="shared" si="248"/>
        <v>0</v>
      </c>
      <c r="AE251" s="33">
        <f t="shared" si="249"/>
        <v>0</v>
      </c>
      <c r="AF251" s="33">
        <f t="shared" si="250"/>
        <v>0</v>
      </c>
      <c r="AG251" s="33">
        <f t="shared" si="251"/>
        <v>0</v>
      </c>
      <c r="AH251" s="33">
        <f t="shared" si="252"/>
        <v>0</v>
      </c>
      <c r="AI251" s="28"/>
      <c r="AJ251" s="16">
        <f t="shared" si="253"/>
        <v>0</v>
      </c>
      <c r="AK251" s="16">
        <f t="shared" si="254"/>
        <v>0</v>
      </c>
      <c r="AL251" s="16">
        <f t="shared" si="255"/>
        <v>0</v>
      </c>
      <c r="AN251" s="33">
        <v>21</v>
      </c>
      <c r="AO251" s="33">
        <f>H251*0.0708827404479578</f>
        <v>0</v>
      </c>
      <c r="AP251" s="33">
        <f>H251*(1-0.0708827404479578)</f>
        <v>0</v>
      </c>
      <c r="AQ251" s="27" t="s">
        <v>7</v>
      </c>
      <c r="AV251" s="33">
        <f t="shared" si="256"/>
        <v>0</v>
      </c>
      <c r="AW251" s="33">
        <f t="shared" si="257"/>
        <v>0</v>
      </c>
      <c r="AX251" s="33">
        <f t="shared" si="258"/>
        <v>0</v>
      </c>
      <c r="AY251" s="34" t="s">
        <v>973</v>
      </c>
      <c r="AZ251" s="34" t="s">
        <v>1006</v>
      </c>
      <c r="BA251" s="28" t="s">
        <v>1007</v>
      </c>
      <c r="BC251" s="33">
        <f t="shared" si="259"/>
        <v>0</v>
      </c>
      <c r="BD251" s="33">
        <f t="shared" si="260"/>
        <v>0</v>
      </c>
      <c r="BE251" s="33">
        <v>0</v>
      </c>
      <c r="BF251" s="33">
        <f>255</f>
        <v>255</v>
      </c>
      <c r="BH251" s="16">
        <f t="shared" si="261"/>
        <v>0</v>
      </c>
      <c r="BI251" s="16">
        <f t="shared" si="262"/>
        <v>0</v>
      </c>
      <c r="BJ251" s="16">
        <f t="shared" si="263"/>
        <v>0</v>
      </c>
    </row>
    <row r="252" spans="1:62" ht="12.75">
      <c r="A252" s="4" t="s">
        <v>209</v>
      </c>
      <c r="B252" s="4" t="s">
        <v>493</v>
      </c>
      <c r="C252" s="107" t="s">
        <v>808</v>
      </c>
      <c r="D252" s="108"/>
      <c r="E252" s="108"/>
      <c r="F252" s="4" t="s">
        <v>895</v>
      </c>
      <c r="G252" s="16">
        <v>3.48</v>
      </c>
      <c r="H252" s="16">
        <v>0</v>
      </c>
      <c r="I252" s="16">
        <f t="shared" si="242"/>
        <v>0</v>
      </c>
      <c r="J252" s="16">
        <f t="shared" si="243"/>
        <v>0</v>
      </c>
      <c r="K252" s="16">
        <f t="shared" si="244"/>
        <v>0</v>
      </c>
      <c r="L252" s="27" t="s">
        <v>922</v>
      </c>
      <c r="Z252" s="33">
        <f t="shared" si="245"/>
        <v>0</v>
      </c>
      <c r="AB252" s="33">
        <f t="shared" si="246"/>
        <v>0</v>
      </c>
      <c r="AC252" s="33">
        <f t="shared" si="247"/>
        <v>0</v>
      </c>
      <c r="AD252" s="33">
        <f t="shared" si="248"/>
        <v>0</v>
      </c>
      <c r="AE252" s="33">
        <f t="shared" si="249"/>
        <v>0</v>
      </c>
      <c r="AF252" s="33">
        <f t="shared" si="250"/>
        <v>0</v>
      </c>
      <c r="AG252" s="33">
        <f t="shared" si="251"/>
        <v>0</v>
      </c>
      <c r="AH252" s="33">
        <f t="shared" si="252"/>
        <v>0</v>
      </c>
      <c r="AI252" s="28"/>
      <c r="AJ252" s="16">
        <f t="shared" si="253"/>
        <v>0</v>
      </c>
      <c r="AK252" s="16">
        <f t="shared" si="254"/>
        <v>0</v>
      </c>
      <c r="AL252" s="16">
        <f t="shared" si="255"/>
        <v>0</v>
      </c>
      <c r="AN252" s="33">
        <v>21</v>
      </c>
      <c r="AO252" s="33">
        <f>H252*0.122082324455206</f>
        <v>0</v>
      </c>
      <c r="AP252" s="33">
        <f>H252*(1-0.122082324455206)</f>
        <v>0</v>
      </c>
      <c r="AQ252" s="27" t="s">
        <v>7</v>
      </c>
      <c r="AV252" s="33">
        <f t="shared" si="256"/>
        <v>0</v>
      </c>
      <c r="AW252" s="33">
        <f t="shared" si="257"/>
        <v>0</v>
      </c>
      <c r="AX252" s="33">
        <f t="shared" si="258"/>
        <v>0</v>
      </c>
      <c r="AY252" s="34" t="s">
        <v>973</v>
      </c>
      <c r="AZ252" s="34" t="s">
        <v>1006</v>
      </c>
      <c r="BA252" s="28" t="s">
        <v>1007</v>
      </c>
      <c r="BC252" s="33">
        <f t="shared" si="259"/>
        <v>0</v>
      </c>
      <c r="BD252" s="33">
        <f t="shared" si="260"/>
        <v>0</v>
      </c>
      <c r="BE252" s="33">
        <v>0</v>
      </c>
      <c r="BF252" s="33">
        <f>256</f>
        <v>256</v>
      </c>
      <c r="BH252" s="16">
        <f t="shared" si="261"/>
        <v>0</v>
      </c>
      <c r="BI252" s="16">
        <f t="shared" si="262"/>
        <v>0</v>
      </c>
      <c r="BJ252" s="16">
        <f t="shared" si="263"/>
        <v>0</v>
      </c>
    </row>
    <row r="253" spans="1:62" ht="12.75">
      <c r="A253" s="4" t="s">
        <v>210</v>
      </c>
      <c r="B253" s="4" t="s">
        <v>494</v>
      </c>
      <c r="C253" s="107" t="s">
        <v>809</v>
      </c>
      <c r="D253" s="108"/>
      <c r="E253" s="108"/>
      <c r="F253" s="4" t="s">
        <v>896</v>
      </c>
      <c r="G253" s="16">
        <v>6</v>
      </c>
      <c r="H253" s="16">
        <v>0</v>
      </c>
      <c r="I253" s="16">
        <f t="shared" si="242"/>
        <v>0</v>
      </c>
      <c r="J253" s="16">
        <f t="shared" si="243"/>
        <v>0</v>
      </c>
      <c r="K253" s="16">
        <f t="shared" si="244"/>
        <v>0</v>
      </c>
      <c r="L253" s="27" t="s">
        <v>922</v>
      </c>
      <c r="Z253" s="33">
        <f t="shared" si="245"/>
        <v>0</v>
      </c>
      <c r="AB253" s="33">
        <f t="shared" si="246"/>
        <v>0</v>
      </c>
      <c r="AC253" s="33">
        <f t="shared" si="247"/>
        <v>0</v>
      </c>
      <c r="AD253" s="33">
        <f t="shared" si="248"/>
        <v>0</v>
      </c>
      <c r="AE253" s="33">
        <f t="shared" si="249"/>
        <v>0</v>
      </c>
      <c r="AF253" s="33">
        <f t="shared" si="250"/>
        <v>0</v>
      </c>
      <c r="AG253" s="33">
        <f t="shared" si="251"/>
        <v>0</v>
      </c>
      <c r="AH253" s="33">
        <f t="shared" si="252"/>
        <v>0</v>
      </c>
      <c r="AI253" s="28"/>
      <c r="AJ253" s="16">
        <f t="shared" si="253"/>
        <v>0</v>
      </c>
      <c r="AK253" s="16">
        <f t="shared" si="254"/>
        <v>0</v>
      </c>
      <c r="AL253" s="16">
        <f t="shared" si="255"/>
        <v>0</v>
      </c>
      <c r="AN253" s="33">
        <v>21</v>
      </c>
      <c r="AO253" s="33">
        <f>H253*0</f>
        <v>0</v>
      </c>
      <c r="AP253" s="33">
        <f>H253*(1-0)</f>
        <v>0</v>
      </c>
      <c r="AQ253" s="27" t="s">
        <v>7</v>
      </c>
      <c r="AV253" s="33">
        <f t="shared" si="256"/>
        <v>0</v>
      </c>
      <c r="AW253" s="33">
        <f t="shared" si="257"/>
        <v>0</v>
      </c>
      <c r="AX253" s="33">
        <f t="shared" si="258"/>
        <v>0</v>
      </c>
      <c r="AY253" s="34" t="s">
        <v>973</v>
      </c>
      <c r="AZ253" s="34" t="s">
        <v>1006</v>
      </c>
      <c r="BA253" s="28" t="s">
        <v>1007</v>
      </c>
      <c r="BC253" s="33">
        <f t="shared" si="259"/>
        <v>0</v>
      </c>
      <c r="BD253" s="33">
        <f t="shared" si="260"/>
        <v>0</v>
      </c>
      <c r="BE253" s="33">
        <v>0</v>
      </c>
      <c r="BF253" s="33">
        <f>257</f>
        <v>257</v>
      </c>
      <c r="BH253" s="16">
        <f t="shared" si="261"/>
        <v>0</v>
      </c>
      <c r="BI253" s="16">
        <f t="shared" si="262"/>
        <v>0</v>
      </c>
      <c r="BJ253" s="16">
        <f t="shared" si="263"/>
        <v>0</v>
      </c>
    </row>
    <row r="254" spans="1:62" ht="12.75">
      <c r="A254" s="4" t="s">
        <v>211</v>
      </c>
      <c r="B254" s="4" t="s">
        <v>495</v>
      </c>
      <c r="C254" s="107" t="s">
        <v>810</v>
      </c>
      <c r="D254" s="108"/>
      <c r="E254" s="108"/>
      <c r="F254" s="4" t="s">
        <v>899</v>
      </c>
      <c r="G254" s="16">
        <v>5</v>
      </c>
      <c r="H254" s="16">
        <v>0</v>
      </c>
      <c r="I254" s="16">
        <f t="shared" si="242"/>
        <v>0</v>
      </c>
      <c r="J254" s="16">
        <f t="shared" si="243"/>
        <v>0</v>
      </c>
      <c r="K254" s="16">
        <f t="shared" si="244"/>
        <v>0</v>
      </c>
      <c r="L254" s="27" t="s">
        <v>922</v>
      </c>
      <c r="Z254" s="33">
        <f t="shared" si="245"/>
        <v>0</v>
      </c>
      <c r="AB254" s="33">
        <f t="shared" si="246"/>
        <v>0</v>
      </c>
      <c r="AC254" s="33">
        <f t="shared" si="247"/>
        <v>0</v>
      </c>
      <c r="AD254" s="33">
        <f t="shared" si="248"/>
        <v>0</v>
      </c>
      <c r="AE254" s="33">
        <f t="shared" si="249"/>
        <v>0</v>
      </c>
      <c r="AF254" s="33">
        <f t="shared" si="250"/>
        <v>0</v>
      </c>
      <c r="AG254" s="33">
        <f t="shared" si="251"/>
        <v>0</v>
      </c>
      <c r="AH254" s="33">
        <f t="shared" si="252"/>
        <v>0</v>
      </c>
      <c r="AI254" s="28"/>
      <c r="AJ254" s="16">
        <f t="shared" si="253"/>
        <v>0</v>
      </c>
      <c r="AK254" s="16">
        <f t="shared" si="254"/>
        <v>0</v>
      </c>
      <c r="AL254" s="16">
        <f t="shared" si="255"/>
        <v>0</v>
      </c>
      <c r="AN254" s="33">
        <v>21</v>
      </c>
      <c r="AO254" s="33">
        <f>H254*0</f>
        <v>0</v>
      </c>
      <c r="AP254" s="33">
        <f>H254*(1-0)</f>
        <v>0</v>
      </c>
      <c r="AQ254" s="27" t="s">
        <v>7</v>
      </c>
      <c r="AV254" s="33">
        <f t="shared" si="256"/>
        <v>0</v>
      </c>
      <c r="AW254" s="33">
        <f t="shared" si="257"/>
        <v>0</v>
      </c>
      <c r="AX254" s="33">
        <f t="shared" si="258"/>
        <v>0</v>
      </c>
      <c r="AY254" s="34" t="s">
        <v>973</v>
      </c>
      <c r="AZ254" s="34" t="s">
        <v>1006</v>
      </c>
      <c r="BA254" s="28" t="s">
        <v>1007</v>
      </c>
      <c r="BC254" s="33">
        <f t="shared" si="259"/>
        <v>0</v>
      </c>
      <c r="BD254" s="33">
        <f t="shared" si="260"/>
        <v>0</v>
      </c>
      <c r="BE254" s="33">
        <v>0</v>
      </c>
      <c r="BF254" s="33">
        <f>258</f>
        <v>258</v>
      </c>
      <c r="BH254" s="16">
        <f t="shared" si="261"/>
        <v>0</v>
      </c>
      <c r="BI254" s="16">
        <f t="shared" si="262"/>
        <v>0</v>
      </c>
      <c r="BJ254" s="16">
        <f t="shared" si="263"/>
        <v>0</v>
      </c>
    </row>
    <row r="255" spans="1:62" ht="12.75">
      <c r="A255" s="4" t="s">
        <v>212</v>
      </c>
      <c r="B255" s="4" t="s">
        <v>496</v>
      </c>
      <c r="C255" s="107" t="s">
        <v>811</v>
      </c>
      <c r="D255" s="108"/>
      <c r="E255" s="108"/>
      <c r="F255" s="4" t="s">
        <v>896</v>
      </c>
      <c r="G255" s="16">
        <v>20</v>
      </c>
      <c r="H255" s="16">
        <v>0</v>
      </c>
      <c r="I255" s="16">
        <f t="shared" si="242"/>
        <v>0</v>
      </c>
      <c r="J255" s="16">
        <f t="shared" si="243"/>
        <v>0</v>
      </c>
      <c r="K255" s="16">
        <f t="shared" si="244"/>
        <v>0</v>
      </c>
      <c r="L255" s="27" t="s">
        <v>922</v>
      </c>
      <c r="Z255" s="33">
        <f t="shared" si="245"/>
        <v>0</v>
      </c>
      <c r="AB255" s="33">
        <f t="shared" si="246"/>
        <v>0</v>
      </c>
      <c r="AC255" s="33">
        <f t="shared" si="247"/>
        <v>0</v>
      </c>
      <c r="AD255" s="33">
        <f t="shared" si="248"/>
        <v>0</v>
      </c>
      <c r="AE255" s="33">
        <f t="shared" si="249"/>
        <v>0</v>
      </c>
      <c r="AF255" s="33">
        <f t="shared" si="250"/>
        <v>0</v>
      </c>
      <c r="AG255" s="33">
        <f t="shared" si="251"/>
        <v>0</v>
      </c>
      <c r="AH255" s="33">
        <f t="shared" si="252"/>
        <v>0</v>
      </c>
      <c r="AI255" s="28"/>
      <c r="AJ255" s="16">
        <f t="shared" si="253"/>
        <v>0</v>
      </c>
      <c r="AK255" s="16">
        <f t="shared" si="254"/>
        <v>0</v>
      </c>
      <c r="AL255" s="16">
        <f t="shared" si="255"/>
        <v>0</v>
      </c>
      <c r="AN255" s="33">
        <v>21</v>
      </c>
      <c r="AO255" s="33">
        <f>H255*0.0414512922465209</f>
        <v>0</v>
      </c>
      <c r="AP255" s="33">
        <f>H255*(1-0.0414512922465209)</f>
        <v>0</v>
      </c>
      <c r="AQ255" s="27" t="s">
        <v>7</v>
      </c>
      <c r="AV255" s="33">
        <f t="shared" si="256"/>
        <v>0</v>
      </c>
      <c r="AW255" s="33">
        <f t="shared" si="257"/>
        <v>0</v>
      </c>
      <c r="AX255" s="33">
        <f t="shared" si="258"/>
        <v>0</v>
      </c>
      <c r="AY255" s="34" t="s">
        <v>973</v>
      </c>
      <c r="AZ255" s="34" t="s">
        <v>1006</v>
      </c>
      <c r="BA255" s="28" t="s">
        <v>1007</v>
      </c>
      <c r="BC255" s="33">
        <f t="shared" si="259"/>
        <v>0</v>
      </c>
      <c r="BD255" s="33">
        <f t="shared" si="260"/>
        <v>0</v>
      </c>
      <c r="BE255" s="33">
        <v>0</v>
      </c>
      <c r="BF255" s="33">
        <f>259</f>
        <v>259</v>
      </c>
      <c r="BH255" s="16">
        <f t="shared" si="261"/>
        <v>0</v>
      </c>
      <c r="BI255" s="16">
        <f t="shared" si="262"/>
        <v>0</v>
      </c>
      <c r="BJ255" s="16">
        <f t="shared" si="263"/>
        <v>0</v>
      </c>
    </row>
    <row r="256" spans="1:47" ht="12.75">
      <c r="A256" s="5"/>
      <c r="B256" s="13" t="s">
        <v>101</v>
      </c>
      <c r="C256" s="109" t="s">
        <v>812</v>
      </c>
      <c r="D256" s="110"/>
      <c r="E256" s="110"/>
      <c r="F256" s="5" t="s">
        <v>6</v>
      </c>
      <c r="G256" s="5" t="s">
        <v>6</v>
      </c>
      <c r="H256" s="5" t="s">
        <v>6</v>
      </c>
      <c r="I256" s="36">
        <f>SUM(I257:I260)</f>
        <v>0</v>
      </c>
      <c r="J256" s="36">
        <f>SUM(J257:J260)</f>
        <v>0</v>
      </c>
      <c r="K256" s="36">
        <f>SUM(K257:K260)</f>
        <v>0</v>
      </c>
      <c r="L256" s="28"/>
      <c r="AI256" s="28"/>
      <c r="AS256" s="36">
        <f>SUM(AJ257:AJ260)</f>
        <v>0</v>
      </c>
      <c r="AT256" s="36">
        <f>SUM(AK257:AK260)</f>
        <v>0</v>
      </c>
      <c r="AU256" s="36">
        <f>SUM(AL257:AL260)</f>
        <v>0</v>
      </c>
    </row>
    <row r="257" spans="1:62" ht="12.75">
      <c r="A257" s="4" t="s">
        <v>213</v>
      </c>
      <c r="B257" s="4" t="s">
        <v>497</v>
      </c>
      <c r="C257" s="107" t="s">
        <v>813</v>
      </c>
      <c r="D257" s="108"/>
      <c r="E257" s="108"/>
      <c r="F257" s="4" t="s">
        <v>899</v>
      </c>
      <c r="G257" s="16">
        <v>16.675</v>
      </c>
      <c r="H257" s="16">
        <v>0</v>
      </c>
      <c r="I257" s="16">
        <f>G257*AO257</f>
        <v>0</v>
      </c>
      <c r="J257" s="16">
        <f>G257*AP257</f>
        <v>0</v>
      </c>
      <c r="K257" s="16">
        <f>G257*H257</f>
        <v>0</v>
      </c>
      <c r="L257" s="27" t="s">
        <v>922</v>
      </c>
      <c r="Z257" s="33">
        <f>IF(AQ257="5",BJ257,0)</f>
        <v>0</v>
      </c>
      <c r="AB257" s="33">
        <f>IF(AQ257="1",BH257,0)</f>
        <v>0</v>
      </c>
      <c r="AC257" s="33">
        <f>IF(AQ257="1",BI257,0)</f>
        <v>0</v>
      </c>
      <c r="AD257" s="33">
        <f>IF(AQ257="7",BH257,0)</f>
        <v>0</v>
      </c>
      <c r="AE257" s="33">
        <f>IF(AQ257="7",BI257,0)</f>
        <v>0</v>
      </c>
      <c r="AF257" s="33">
        <f>IF(AQ257="2",BH257,0)</f>
        <v>0</v>
      </c>
      <c r="AG257" s="33">
        <f>IF(AQ257="2",BI257,0)</f>
        <v>0</v>
      </c>
      <c r="AH257" s="33">
        <f>IF(AQ257="0",BJ257,0)</f>
        <v>0</v>
      </c>
      <c r="AI257" s="28"/>
      <c r="AJ257" s="16">
        <f>IF(AN257=0,K257,0)</f>
        <v>0</v>
      </c>
      <c r="AK257" s="16">
        <f>IF(AN257=15,K257,0)</f>
        <v>0</v>
      </c>
      <c r="AL257" s="16">
        <f>IF(AN257=21,K257,0)</f>
        <v>0</v>
      </c>
      <c r="AN257" s="33">
        <v>21</v>
      </c>
      <c r="AO257" s="33">
        <f>H257*0.0470833333333333</f>
        <v>0</v>
      </c>
      <c r="AP257" s="33">
        <f>H257*(1-0.0470833333333333)</f>
        <v>0</v>
      </c>
      <c r="AQ257" s="27" t="s">
        <v>7</v>
      </c>
      <c r="AV257" s="33">
        <f>AW257+AX257</f>
        <v>0</v>
      </c>
      <c r="AW257" s="33">
        <f>G257*AO257</f>
        <v>0</v>
      </c>
      <c r="AX257" s="33">
        <f>G257*AP257</f>
        <v>0</v>
      </c>
      <c r="AY257" s="34" t="s">
        <v>974</v>
      </c>
      <c r="AZ257" s="34" t="s">
        <v>1006</v>
      </c>
      <c r="BA257" s="28" t="s">
        <v>1007</v>
      </c>
      <c r="BC257" s="33">
        <f>AW257+AX257</f>
        <v>0</v>
      </c>
      <c r="BD257" s="33">
        <f>H257/(100-BE257)*100</f>
        <v>0</v>
      </c>
      <c r="BE257" s="33">
        <v>0</v>
      </c>
      <c r="BF257" s="33">
        <f>261</f>
        <v>261</v>
      </c>
      <c r="BH257" s="16">
        <f>G257*AO257</f>
        <v>0</v>
      </c>
      <c r="BI257" s="16">
        <f>G257*AP257</f>
        <v>0</v>
      </c>
      <c r="BJ257" s="16">
        <f>G257*H257</f>
        <v>0</v>
      </c>
    </row>
    <row r="258" spans="1:62" ht="12.75">
      <c r="A258" s="4" t="s">
        <v>214</v>
      </c>
      <c r="B258" s="4" t="s">
        <v>498</v>
      </c>
      <c r="C258" s="107" t="s">
        <v>814</v>
      </c>
      <c r="D258" s="108"/>
      <c r="E258" s="108"/>
      <c r="F258" s="4" t="s">
        <v>895</v>
      </c>
      <c r="G258" s="16">
        <v>86.8</v>
      </c>
      <c r="H258" s="16">
        <v>0</v>
      </c>
      <c r="I258" s="16">
        <f>G258*AO258</f>
        <v>0</v>
      </c>
      <c r="J258" s="16">
        <f>G258*AP258</f>
        <v>0</v>
      </c>
      <c r="K258" s="16">
        <f>G258*H258</f>
        <v>0</v>
      </c>
      <c r="L258" s="27" t="s">
        <v>922</v>
      </c>
      <c r="Z258" s="33">
        <f>IF(AQ258="5",BJ258,0)</f>
        <v>0</v>
      </c>
      <c r="AB258" s="33">
        <f>IF(AQ258="1",BH258,0)</f>
        <v>0</v>
      </c>
      <c r="AC258" s="33">
        <f>IF(AQ258="1",BI258,0)</f>
        <v>0</v>
      </c>
      <c r="AD258" s="33">
        <f>IF(AQ258="7",BH258,0)</f>
        <v>0</v>
      </c>
      <c r="AE258" s="33">
        <f>IF(AQ258="7",BI258,0)</f>
        <v>0</v>
      </c>
      <c r="AF258" s="33">
        <f>IF(AQ258="2",BH258,0)</f>
        <v>0</v>
      </c>
      <c r="AG258" s="33">
        <f>IF(AQ258="2",BI258,0)</f>
        <v>0</v>
      </c>
      <c r="AH258" s="33">
        <f>IF(AQ258="0",BJ258,0)</f>
        <v>0</v>
      </c>
      <c r="AI258" s="28"/>
      <c r="AJ258" s="16">
        <f>IF(AN258=0,K258,0)</f>
        <v>0</v>
      </c>
      <c r="AK258" s="16">
        <f>IF(AN258=15,K258,0)</f>
        <v>0</v>
      </c>
      <c r="AL258" s="16">
        <f>IF(AN258=21,K258,0)</f>
        <v>0</v>
      </c>
      <c r="AN258" s="33">
        <v>21</v>
      </c>
      <c r="AO258" s="33">
        <f>H258*0</f>
        <v>0</v>
      </c>
      <c r="AP258" s="33">
        <f>H258*(1-0)</f>
        <v>0</v>
      </c>
      <c r="AQ258" s="27" t="s">
        <v>7</v>
      </c>
      <c r="AV258" s="33">
        <f>AW258+AX258</f>
        <v>0</v>
      </c>
      <c r="AW258" s="33">
        <f>G258*AO258</f>
        <v>0</v>
      </c>
      <c r="AX258" s="33">
        <f>G258*AP258</f>
        <v>0</v>
      </c>
      <c r="AY258" s="34" t="s">
        <v>974</v>
      </c>
      <c r="AZ258" s="34" t="s">
        <v>1006</v>
      </c>
      <c r="BA258" s="28" t="s">
        <v>1007</v>
      </c>
      <c r="BC258" s="33">
        <f>AW258+AX258</f>
        <v>0</v>
      </c>
      <c r="BD258" s="33">
        <f>H258/(100-BE258)*100</f>
        <v>0</v>
      </c>
      <c r="BE258" s="33">
        <v>0</v>
      </c>
      <c r="BF258" s="33">
        <f>262</f>
        <v>262</v>
      </c>
      <c r="BH258" s="16">
        <f>G258*AO258</f>
        <v>0</v>
      </c>
      <c r="BI258" s="16">
        <f>G258*AP258</f>
        <v>0</v>
      </c>
      <c r="BJ258" s="16">
        <f>G258*H258</f>
        <v>0</v>
      </c>
    </row>
    <row r="259" spans="1:62" ht="12.75">
      <c r="A259" s="4" t="s">
        <v>215</v>
      </c>
      <c r="B259" s="4" t="s">
        <v>499</v>
      </c>
      <c r="C259" s="107" t="s">
        <v>815</v>
      </c>
      <c r="D259" s="108"/>
      <c r="E259" s="108"/>
      <c r="F259" s="4" t="s">
        <v>896</v>
      </c>
      <c r="G259" s="16">
        <v>1</v>
      </c>
      <c r="H259" s="16">
        <v>0</v>
      </c>
      <c r="I259" s="16">
        <f>G259*AO259</f>
        <v>0</v>
      </c>
      <c r="J259" s="16">
        <f>G259*AP259</f>
        <v>0</v>
      </c>
      <c r="K259" s="16">
        <f>G259*H259</f>
        <v>0</v>
      </c>
      <c r="L259" s="27" t="s">
        <v>922</v>
      </c>
      <c r="Z259" s="33">
        <f>IF(AQ259="5",BJ259,0)</f>
        <v>0</v>
      </c>
      <c r="AB259" s="33">
        <f>IF(AQ259="1",BH259,0)</f>
        <v>0</v>
      </c>
      <c r="AC259" s="33">
        <f>IF(AQ259="1",BI259,0)</f>
        <v>0</v>
      </c>
      <c r="AD259" s="33">
        <f>IF(AQ259="7",BH259,0)</f>
        <v>0</v>
      </c>
      <c r="AE259" s="33">
        <f>IF(AQ259="7",BI259,0)</f>
        <v>0</v>
      </c>
      <c r="AF259" s="33">
        <f>IF(AQ259="2",BH259,0)</f>
        <v>0</v>
      </c>
      <c r="AG259" s="33">
        <f>IF(AQ259="2",BI259,0)</f>
        <v>0</v>
      </c>
      <c r="AH259" s="33">
        <f>IF(AQ259="0",BJ259,0)</f>
        <v>0</v>
      </c>
      <c r="AI259" s="28"/>
      <c r="AJ259" s="16">
        <f>IF(AN259=0,K259,0)</f>
        <v>0</v>
      </c>
      <c r="AK259" s="16">
        <f>IF(AN259=15,K259,0)</f>
        <v>0</v>
      </c>
      <c r="AL259" s="16">
        <f>IF(AN259=21,K259,0)</f>
        <v>0</v>
      </c>
      <c r="AN259" s="33">
        <v>21</v>
      </c>
      <c r="AO259" s="33">
        <f>H259*0.022368257541977</f>
        <v>0</v>
      </c>
      <c r="AP259" s="33">
        <f>H259*(1-0.022368257541977)</f>
        <v>0</v>
      </c>
      <c r="AQ259" s="27" t="s">
        <v>7</v>
      </c>
      <c r="AV259" s="33">
        <f>AW259+AX259</f>
        <v>0</v>
      </c>
      <c r="AW259" s="33">
        <f>G259*AO259</f>
        <v>0</v>
      </c>
      <c r="AX259" s="33">
        <f>G259*AP259</f>
        <v>0</v>
      </c>
      <c r="AY259" s="34" t="s">
        <v>974</v>
      </c>
      <c r="AZ259" s="34" t="s">
        <v>1006</v>
      </c>
      <c r="BA259" s="28" t="s">
        <v>1007</v>
      </c>
      <c r="BC259" s="33">
        <f>AW259+AX259</f>
        <v>0</v>
      </c>
      <c r="BD259" s="33">
        <f>H259/(100-BE259)*100</f>
        <v>0</v>
      </c>
      <c r="BE259" s="33">
        <v>0</v>
      </c>
      <c r="BF259" s="33">
        <f>263</f>
        <v>263</v>
      </c>
      <c r="BH259" s="16">
        <f>G259*AO259</f>
        <v>0</v>
      </c>
      <c r="BI259" s="16">
        <f>G259*AP259</f>
        <v>0</v>
      </c>
      <c r="BJ259" s="16">
        <f>G259*H259</f>
        <v>0</v>
      </c>
    </row>
    <row r="260" spans="1:62" ht="12.75">
      <c r="A260" s="4" t="s">
        <v>216</v>
      </c>
      <c r="B260" s="4" t="s">
        <v>500</v>
      </c>
      <c r="C260" s="107" t="s">
        <v>816</v>
      </c>
      <c r="D260" s="108"/>
      <c r="E260" s="108"/>
      <c r="F260" s="4" t="s">
        <v>901</v>
      </c>
      <c r="G260" s="16">
        <v>1</v>
      </c>
      <c r="H260" s="16">
        <v>0</v>
      </c>
      <c r="I260" s="16">
        <f>G260*AO260</f>
        <v>0</v>
      </c>
      <c r="J260" s="16">
        <f>G260*AP260</f>
        <v>0</v>
      </c>
      <c r="K260" s="16">
        <f>G260*H260</f>
        <v>0</v>
      </c>
      <c r="L260" s="27" t="s">
        <v>922</v>
      </c>
      <c r="Z260" s="33">
        <f>IF(AQ260="5",BJ260,0)</f>
        <v>0</v>
      </c>
      <c r="AB260" s="33">
        <f>IF(AQ260="1",BH260,0)</f>
        <v>0</v>
      </c>
      <c r="AC260" s="33">
        <f>IF(AQ260="1",BI260,0)</f>
        <v>0</v>
      </c>
      <c r="AD260" s="33">
        <f>IF(AQ260="7",BH260,0)</f>
        <v>0</v>
      </c>
      <c r="AE260" s="33">
        <f>IF(AQ260="7",BI260,0)</f>
        <v>0</v>
      </c>
      <c r="AF260" s="33">
        <f>IF(AQ260="2",BH260,0)</f>
        <v>0</v>
      </c>
      <c r="AG260" s="33">
        <f>IF(AQ260="2",BI260,0)</f>
        <v>0</v>
      </c>
      <c r="AH260" s="33">
        <f>IF(AQ260="0",BJ260,0)</f>
        <v>0</v>
      </c>
      <c r="AI260" s="28"/>
      <c r="AJ260" s="16">
        <f>IF(AN260=0,K260,0)</f>
        <v>0</v>
      </c>
      <c r="AK260" s="16">
        <f>IF(AN260=15,K260,0)</f>
        <v>0</v>
      </c>
      <c r="AL260" s="16">
        <f>IF(AN260=21,K260,0)</f>
        <v>0</v>
      </c>
      <c r="AN260" s="33">
        <v>21</v>
      </c>
      <c r="AO260" s="33">
        <f>H260*0.3125</f>
        <v>0</v>
      </c>
      <c r="AP260" s="33">
        <f>H260*(1-0.3125)</f>
        <v>0</v>
      </c>
      <c r="AQ260" s="27" t="s">
        <v>7</v>
      </c>
      <c r="AV260" s="33">
        <f>AW260+AX260</f>
        <v>0</v>
      </c>
      <c r="AW260" s="33">
        <f>G260*AO260</f>
        <v>0</v>
      </c>
      <c r="AX260" s="33">
        <f>G260*AP260</f>
        <v>0</v>
      </c>
      <c r="AY260" s="34" t="s">
        <v>974</v>
      </c>
      <c r="AZ260" s="34" t="s">
        <v>1006</v>
      </c>
      <c r="BA260" s="28" t="s">
        <v>1007</v>
      </c>
      <c r="BC260" s="33">
        <f>AW260+AX260</f>
        <v>0</v>
      </c>
      <c r="BD260" s="33">
        <f>H260/(100-BE260)*100</f>
        <v>0</v>
      </c>
      <c r="BE260" s="33">
        <v>0</v>
      </c>
      <c r="BF260" s="33">
        <f>264</f>
        <v>264</v>
      </c>
      <c r="BH260" s="16">
        <f>G260*AO260</f>
        <v>0</v>
      </c>
      <c r="BI260" s="16">
        <f>G260*AP260</f>
        <v>0</v>
      </c>
      <c r="BJ260" s="16">
        <f>G260*H260</f>
        <v>0</v>
      </c>
    </row>
    <row r="261" spans="1:47" ht="12.75">
      <c r="A261" s="5"/>
      <c r="B261" s="13" t="s">
        <v>102</v>
      </c>
      <c r="C261" s="109" t="s">
        <v>817</v>
      </c>
      <c r="D261" s="110"/>
      <c r="E261" s="110"/>
      <c r="F261" s="5" t="s">
        <v>6</v>
      </c>
      <c r="G261" s="5" t="s">
        <v>6</v>
      </c>
      <c r="H261" s="5" t="s">
        <v>6</v>
      </c>
      <c r="I261" s="36">
        <f>SUM(I262:I263)</f>
        <v>0</v>
      </c>
      <c r="J261" s="36">
        <f>SUM(J262:J263)</f>
        <v>0</v>
      </c>
      <c r="K261" s="36">
        <f>SUM(K262:K263)</f>
        <v>0</v>
      </c>
      <c r="L261" s="28"/>
      <c r="AI261" s="28"/>
      <c r="AS261" s="36">
        <f>SUM(AJ262:AJ263)</f>
        <v>0</v>
      </c>
      <c r="AT261" s="36">
        <f>SUM(AK262:AK263)</f>
        <v>0</v>
      </c>
      <c r="AU261" s="36">
        <f>SUM(AL262:AL263)</f>
        <v>0</v>
      </c>
    </row>
    <row r="262" spans="1:62" ht="12.75">
      <c r="A262" s="4" t="s">
        <v>217</v>
      </c>
      <c r="B262" s="4" t="s">
        <v>501</v>
      </c>
      <c r="C262" s="107" t="s">
        <v>818</v>
      </c>
      <c r="D262" s="108"/>
      <c r="E262" s="108"/>
      <c r="F262" s="4" t="s">
        <v>897</v>
      </c>
      <c r="G262" s="16">
        <v>20</v>
      </c>
      <c r="H262" s="16">
        <v>0</v>
      </c>
      <c r="I262" s="16">
        <f>G262*AO262</f>
        <v>0</v>
      </c>
      <c r="J262" s="16">
        <f>G262*AP262</f>
        <v>0</v>
      </c>
      <c r="K262" s="16">
        <f>G262*H262</f>
        <v>0</v>
      </c>
      <c r="L262" s="27" t="s">
        <v>922</v>
      </c>
      <c r="Z262" s="33">
        <f>IF(AQ262="5",BJ262,0)</f>
        <v>0</v>
      </c>
      <c r="AB262" s="33">
        <f>IF(AQ262="1",BH262,0)</f>
        <v>0</v>
      </c>
      <c r="AC262" s="33">
        <f>IF(AQ262="1",BI262,0)</f>
        <v>0</v>
      </c>
      <c r="AD262" s="33">
        <f>IF(AQ262="7",BH262,0)</f>
        <v>0</v>
      </c>
      <c r="AE262" s="33">
        <f>IF(AQ262="7",BI262,0)</f>
        <v>0</v>
      </c>
      <c r="AF262" s="33">
        <f>IF(AQ262="2",BH262,0)</f>
        <v>0</v>
      </c>
      <c r="AG262" s="33">
        <f>IF(AQ262="2",BI262,0)</f>
        <v>0</v>
      </c>
      <c r="AH262" s="33">
        <f>IF(AQ262="0",BJ262,0)</f>
        <v>0</v>
      </c>
      <c r="AI262" s="28"/>
      <c r="AJ262" s="16">
        <f>IF(AN262=0,K262,0)</f>
        <v>0</v>
      </c>
      <c r="AK262" s="16">
        <f>IF(AN262=15,K262,0)</f>
        <v>0</v>
      </c>
      <c r="AL262" s="16">
        <f>IF(AN262=21,K262,0)</f>
        <v>0</v>
      </c>
      <c r="AN262" s="33">
        <v>21</v>
      </c>
      <c r="AO262" s="33">
        <f>H262*0.452217898832685</f>
        <v>0</v>
      </c>
      <c r="AP262" s="33">
        <f>H262*(1-0.452217898832685)</f>
        <v>0</v>
      </c>
      <c r="AQ262" s="27" t="s">
        <v>7</v>
      </c>
      <c r="AV262" s="33">
        <f>AW262+AX262</f>
        <v>0</v>
      </c>
      <c r="AW262" s="33">
        <f>G262*AO262</f>
        <v>0</v>
      </c>
      <c r="AX262" s="33">
        <f>G262*AP262</f>
        <v>0</v>
      </c>
      <c r="AY262" s="34" t="s">
        <v>975</v>
      </c>
      <c r="AZ262" s="34" t="s">
        <v>1006</v>
      </c>
      <c r="BA262" s="28" t="s">
        <v>1007</v>
      </c>
      <c r="BC262" s="33">
        <f>AW262+AX262</f>
        <v>0</v>
      </c>
      <c r="BD262" s="33">
        <f>H262/(100-BE262)*100</f>
        <v>0</v>
      </c>
      <c r="BE262" s="33">
        <v>0</v>
      </c>
      <c r="BF262" s="33">
        <f>266</f>
        <v>266</v>
      </c>
      <c r="BH262" s="16">
        <f>G262*AO262</f>
        <v>0</v>
      </c>
      <c r="BI262" s="16">
        <f>G262*AP262</f>
        <v>0</v>
      </c>
      <c r="BJ262" s="16">
        <f>G262*H262</f>
        <v>0</v>
      </c>
    </row>
    <row r="263" spans="1:62" ht="12.75">
      <c r="A263" s="4" t="s">
        <v>218</v>
      </c>
      <c r="B263" s="4" t="s">
        <v>502</v>
      </c>
      <c r="C263" s="107" t="s">
        <v>819</v>
      </c>
      <c r="D263" s="108"/>
      <c r="E263" s="108"/>
      <c r="F263" s="4" t="s">
        <v>897</v>
      </c>
      <c r="G263" s="16">
        <v>35</v>
      </c>
      <c r="H263" s="16">
        <v>0</v>
      </c>
      <c r="I263" s="16">
        <f>G263*AO263</f>
        <v>0</v>
      </c>
      <c r="J263" s="16">
        <f>G263*AP263</f>
        <v>0</v>
      </c>
      <c r="K263" s="16">
        <f>G263*H263</f>
        <v>0</v>
      </c>
      <c r="L263" s="27" t="s">
        <v>922</v>
      </c>
      <c r="Z263" s="33">
        <f>IF(AQ263="5",BJ263,0)</f>
        <v>0</v>
      </c>
      <c r="AB263" s="33">
        <f>IF(AQ263="1",BH263,0)</f>
        <v>0</v>
      </c>
      <c r="AC263" s="33">
        <f>IF(AQ263="1",BI263,0)</f>
        <v>0</v>
      </c>
      <c r="AD263" s="33">
        <f>IF(AQ263="7",BH263,0)</f>
        <v>0</v>
      </c>
      <c r="AE263" s="33">
        <f>IF(AQ263="7",BI263,0)</f>
        <v>0</v>
      </c>
      <c r="AF263" s="33">
        <f>IF(AQ263="2",BH263,0)</f>
        <v>0</v>
      </c>
      <c r="AG263" s="33">
        <f>IF(AQ263="2",BI263,0)</f>
        <v>0</v>
      </c>
      <c r="AH263" s="33">
        <f>IF(AQ263="0",BJ263,0)</f>
        <v>0</v>
      </c>
      <c r="AI263" s="28"/>
      <c r="AJ263" s="16">
        <f>IF(AN263=0,K263,0)</f>
        <v>0</v>
      </c>
      <c r="AK263" s="16">
        <f>IF(AN263=15,K263,0)</f>
        <v>0</v>
      </c>
      <c r="AL263" s="16">
        <f>IF(AN263=21,K263,0)</f>
        <v>0</v>
      </c>
      <c r="AN263" s="33">
        <v>21</v>
      </c>
      <c r="AO263" s="33">
        <f>H263*0.452911392405063</f>
        <v>0</v>
      </c>
      <c r="AP263" s="33">
        <f>H263*(1-0.452911392405063)</f>
        <v>0</v>
      </c>
      <c r="AQ263" s="27" t="s">
        <v>7</v>
      </c>
      <c r="AV263" s="33">
        <f>AW263+AX263</f>
        <v>0</v>
      </c>
      <c r="AW263" s="33">
        <f>G263*AO263</f>
        <v>0</v>
      </c>
      <c r="AX263" s="33">
        <f>G263*AP263</f>
        <v>0</v>
      </c>
      <c r="AY263" s="34" t="s">
        <v>975</v>
      </c>
      <c r="AZ263" s="34" t="s">
        <v>1006</v>
      </c>
      <c r="BA263" s="28" t="s">
        <v>1007</v>
      </c>
      <c r="BC263" s="33">
        <f>AW263+AX263</f>
        <v>0</v>
      </c>
      <c r="BD263" s="33">
        <f>H263/(100-BE263)*100</f>
        <v>0</v>
      </c>
      <c r="BE263" s="33">
        <v>0</v>
      </c>
      <c r="BF263" s="33">
        <f>267</f>
        <v>267</v>
      </c>
      <c r="BH263" s="16">
        <f>G263*AO263</f>
        <v>0</v>
      </c>
      <c r="BI263" s="16">
        <f>G263*AP263</f>
        <v>0</v>
      </c>
      <c r="BJ263" s="16">
        <f>G263*H263</f>
        <v>0</v>
      </c>
    </row>
    <row r="264" spans="1:47" ht="12.75">
      <c r="A264" s="5"/>
      <c r="B264" s="13" t="s">
        <v>503</v>
      </c>
      <c r="C264" s="109" t="s">
        <v>820</v>
      </c>
      <c r="D264" s="110"/>
      <c r="E264" s="110"/>
      <c r="F264" s="5" t="s">
        <v>6</v>
      </c>
      <c r="G264" s="5" t="s">
        <v>6</v>
      </c>
      <c r="H264" s="5" t="s">
        <v>6</v>
      </c>
      <c r="I264" s="36">
        <f>SUM(I265:I265)</f>
        <v>0</v>
      </c>
      <c r="J264" s="36">
        <f>SUM(J265:J265)</f>
        <v>0</v>
      </c>
      <c r="K264" s="36">
        <f>SUM(K265:K265)</f>
        <v>0</v>
      </c>
      <c r="L264" s="28"/>
      <c r="AI264" s="28"/>
      <c r="AS264" s="36">
        <f>SUM(AJ265:AJ265)</f>
        <v>0</v>
      </c>
      <c r="AT264" s="36">
        <f>SUM(AK265:AK265)</f>
        <v>0</v>
      </c>
      <c r="AU264" s="36">
        <f>SUM(AL265:AL265)</f>
        <v>0</v>
      </c>
    </row>
    <row r="265" spans="1:62" ht="12.75">
      <c r="A265" s="4" t="s">
        <v>219</v>
      </c>
      <c r="B265" s="4" t="s">
        <v>504</v>
      </c>
      <c r="C265" s="107" t="s">
        <v>821</v>
      </c>
      <c r="D265" s="108"/>
      <c r="E265" s="108"/>
      <c r="F265" s="4" t="s">
        <v>898</v>
      </c>
      <c r="G265" s="16">
        <v>101.9759</v>
      </c>
      <c r="H265" s="16">
        <v>0</v>
      </c>
      <c r="I265" s="16">
        <f>G265*AO265</f>
        <v>0</v>
      </c>
      <c r="J265" s="16">
        <f>G265*AP265</f>
        <v>0</v>
      </c>
      <c r="K265" s="16">
        <f>G265*H265</f>
        <v>0</v>
      </c>
      <c r="L265" s="27" t="s">
        <v>922</v>
      </c>
      <c r="Z265" s="33">
        <f>IF(AQ265="5",BJ265,0)</f>
        <v>0</v>
      </c>
      <c r="AB265" s="33">
        <f>IF(AQ265="1",BH265,0)</f>
        <v>0</v>
      </c>
      <c r="AC265" s="33">
        <f>IF(AQ265="1",BI265,0)</f>
        <v>0</v>
      </c>
      <c r="AD265" s="33">
        <f>IF(AQ265="7",BH265,0)</f>
        <v>0</v>
      </c>
      <c r="AE265" s="33">
        <f>IF(AQ265="7",BI265,0)</f>
        <v>0</v>
      </c>
      <c r="AF265" s="33">
        <f>IF(AQ265="2",BH265,0)</f>
        <v>0</v>
      </c>
      <c r="AG265" s="33">
        <f>IF(AQ265="2",BI265,0)</f>
        <v>0</v>
      </c>
      <c r="AH265" s="33">
        <f>IF(AQ265="0",BJ265,0)</f>
        <v>0</v>
      </c>
      <c r="AI265" s="28"/>
      <c r="AJ265" s="16">
        <f>IF(AN265=0,K265,0)</f>
        <v>0</v>
      </c>
      <c r="AK265" s="16">
        <f>IF(AN265=15,K265,0)</f>
        <v>0</v>
      </c>
      <c r="AL265" s="16">
        <f>IF(AN265=21,K265,0)</f>
        <v>0</v>
      </c>
      <c r="AN265" s="33">
        <v>21</v>
      </c>
      <c r="AO265" s="33">
        <f>H265*0</f>
        <v>0</v>
      </c>
      <c r="AP265" s="33">
        <f>H265*(1-0)</f>
        <v>0</v>
      </c>
      <c r="AQ265" s="27" t="s">
        <v>10</v>
      </c>
      <c r="AV265" s="33">
        <f>AW265+AX265</f>
        <v>0</v>
      </c>
      <c r="AW265" s="33">
        <f>G265*AO265</f>
        <v>0</v>
      </c>
      <c r="AX265" s="33">
        <f>G265*AP265</f>
        <v>0</v>
      </c>
      <c r="AY265" s="34" t="s">
        <v>976</v>
      </c>
      <c r="AZ265" s="34" t="s">
        <v>1006</v>
      </c>
      <c r="BA265" s="28" t="s">
        <v>1007</v>
      </c>
      <c r="BC265" s="33">
        <f>AW265+AX265</f>
        <v>0</v>
      </c>
      <c r="BD265" s="33">
        <f>H265/(100-BE265)*100</f>
        <v>0</v>
      </c>
      <c r="BE265" s="33">
        <v>0</v>
      </c>
      <c r="BF265" s="33">
        <f>269</f>
        <v>269</v>
      </c>
      <c r="BH265" s="16">
        <f>G265*AO265</f>
        <v>0</v>
      </c>
      <c r="BI265" s="16">
        <f>G265*AP265</f>
        <v>0</v>
      </c>
      <c r="BJ265" s="16">
        <f>G265*H265</f>
        <v>0</v>
      </c>
    </row>
    <row r="266" spans="1:47" ht="12.75">
      <c r="A266" s="5"/>
      <c r="B266" s="13" t="s">
        <v>505</v>
      </c>
      <c r="C266" s="109" t="s">
        <v>822</v>
      </c>
      <c r="D266" s="110"/>
      <c r="E266" s="110"/>
      <c r="F266" s="5" t="s">
        <v>6</v>
      </c>
      <c r="G266" s="5" t="s">
        <v>6</v>
      </c>
      <c r="H266" s="5" t="s">
        <v>6</v>
      </c>
      <c r="I266" s="36">
        <f>SUM(I267:I267)</f>
        <v>0</v>
      </c>
      <c r="J266" s="36">
        <f>SUM(J267:J267)</f>
        <v>0</v>
      </c>
      <c r="K266" s="36">
        <f>SUM(K267:K267)</f>
        <v>0</v>
      </c>
      <c r="L266" s="28"/>
      <c r="AI266" s="28"/>
      <c r="AS266" s="36">
        <f>SUM(AJ267:AJ267)</f>
        <v>0</v>
      </c>
      <c r="AT266" s="36">
        <f>SUM(AK267:AK267)</f>
        <v>0</v>
      </c>
      <c r="AU266" s="36">
        <f>SUM(AL267:AL267)</f>
        <v>0</v>
      </c>
    </row>
    <row r="267" spans="1:62" ht="12.75">
      <c r="A267" s="4" t="s">
        <v>220</v>
      </c>
      <c r="B267" s="4" t="s">
        <v>506</v>
      </c>
      <c r="C267" s="107" t="s">
        <v>823</v>
      </c>
      <c r="D267" s="108"/>
      <c r="E267" s="108"/>
      <c r="F267" s="4" t="s">
        <v>898</v>
      </c>
      <c r="G267" s="16">
        <v>27.7193</v>
      </c>
      <c r="H267" s="16">
        <v>0</v>
      </c>
      <c r="I267" s="16">
        <f>G267*AO267</f>
        <v>0</v>
      </c>
      <c r="J267" s="16">
        <f>G267*AP267</f>
        <v>0</v>
      </c>
      <c r="K267" s="16">
        <f>G267*H267</f>
        <v>0</v>
      </c>
      <c r="L267" s="27" t="s">
        <v>922</v>
      </c>
      <c r="Z267" s="33">
        <f>IF(AQ267="5",BJ267,0)</f>
        <v>0</v>
      </c>
      <c r="AB267" s="33">
        <f>IF(AQ267="1",BH267,0)</f>
        <v>0</v>
      </c>
      <c r="AC267" s="33">
        <f>IF(AQ267="1",BI267,0)</f>
        <v>0</v>
      </c>
      <c r="AD267" s="33">
        <f>IF(AQ267="7",BH267,0)</f>
        <v>0</v>
      </c>
      <c r="AE267" s="33">
        <f>IF(AQ267="7",BI267,0)</f>
        <v>0</v>
      </c>
      <c r="AF267" s="33">
        <f>IF(AQ267="2",BH267,0)</f>
        <v>0</v>
      </c>
      <c r="AG267" s="33">
        <f>IF(AQ267="2",BI267,0)</f>
        <v>0</v>
      </c>
      <c r="AH267" s="33">
        <f>IF(AQ267="0",BJ267,0)</f>
        <v>0</v>
      </c>
      <c r="AI267" s="28"/>
      <c r="AJ267" s="16">
        <f>IF(AN267=0,K267,0)</f>
        <v>0</v>
      </c>
      <c r="AK267" s="16">
        <f>IF(AN267=15,K267,0)</f>
        <v>0</v>
      </c>
      <c r="AL267" s="16">
        <f>IF(AN267=21,K267,0)</f>
        <v>0</v>
      </c>
      <c r="AN267" s="33">
        <v>21</v>
      </c>
      <c r="AO267" s="33">
        <f>H267*0</f>
        <v>0</v>
      </c>
      <c r="AP267" s="33">
        <f>H267*(1-0)</f>
        <v>0</v>
      </c>
      <c r="AQ267" s="27" t="s">
        <v>10</v>
      </c>
      <c r="AV267" s="33">
        <f>AW267+AX267</f>
        <v>0</v>
      </c>
      <c r="AW267" s="33">
        <f>G267*AO267</f>
        <v>0</v>
      </c>
      <c r="AX267" s="33">
        <f>G267*AP267</f>
        <v>0</v>
      </c>
      <c r="AY267" s="34" t="s">
        <v>977</v>
      </c>
      <c r="AZ267" s="34" t="s">
        <v>1006</v>
      </c>
      <c r="BA267" s="28" t="s">
        <v>1007</v>
      </c>
      <c r="BC267" s="33">
        <f>AW267+AX267</f>
        <v>0</v>
      </c>
      <c r="BD267" s="33">
        <f>H267/(100-BE267)*100</f>
        <v>0</v>
      </c>
      <c r="BE267" s="33">
        <v>0</v>
      </c>
      <c r="BF267" s="33">
        <f>271</f>
        <v>271</v>
      </c>
      <c r="BH267" s="16">
        <f>G267*AO267</f>
        <v>0</v>
      </c>
      <c r="BI267" s="16">
        <f>G267*AP267</f>
        <v>0</v>
      </c>
      <c r="BJ267" s="16">
        <f>G267*H267</f>
        <v>0</v>
      </c>
    </row>
    <row r="268" spans="1:47" ht="12.75">
      <c r="A268" s="5"/>
      <c r="B268" s="13" t="s">
        <v>507</v>
      </c>
      <c r="C268" s="109" t="s">
        <v>659</v>
      </c>
      <c r="D268" s="110"/>
      <c r="E268" s="110"/>
      <c r="F268" s="5" t="s">
        <v>6</v>
      </c>
      <c r="G268" s="5" t="s">
        <v>6</v>
      </c>
      <c r="H268" s="5" t="s">
        <v>6</v>
      </c>
      <c r="I268" s="36">
        <f>SUM(I269:I269)</f>
        <v>0</v>
      </c>
      <c r="J268" s="36">
        <f>SUM(J269:J269)</f>
        <v>0</v>
      </c>
      <c r="K268" s="36">
        <f>SUM(K269:K269)</f>
        <v>0</v>
      </c>
      <c r="L268" s="28"/>
      <c r="AI268" s="28"/>
      <c r="AS268" s="36">
        <f>SUM(AJ269:AJ269)</f>
        <v>0</v>
      </c>
      <c r="AT268" s="36">
        <f>SUM(AK269:AK269)</f>
        <v>0</v>
      </c>
      <c r="AU268" s="36">
        <f>SUM(AL269:AL269)</f>
        <v>0</v>
      </c>
    </row>
    <row r="269" spans="1:62" ht="12.75">
      <c r="A269" s="4" t="s">
        <v>221</v>
      </c>
      <c r="B269" s="4" t="s">
        <v>508</v>
      </c>
      <c r="C269" s="107" t="s">
        <v>824</v>
      </c>
      <c r="D269" s="108"/>
      <c r="E269" s="108"/>
      <c r="F269" s="4" t="s">
        <v>898</v>
      </c>
      <c r="G269" s="16">
        <v>0.6181</v>
      </c>
      <c r="H269" s="16">
        <v>0</v>
      </c>
      <c r="I269" s="16">
        <f>G269*AO269</f>
        <v>0</v>
      </c>
      <c r="J269" s="16">
        <f>G269*AP269</f>
        <v>0</v>
      </c>
      <c r="K269" s="16">
        <f>G269*H269</f>
        <v>0</v>
      </c>
      <c r="L269" s="27" t="s">
        <v>922</v>
      </c>
      <c r="Z269" s="33">
        <f>IF(AQ269="5",BJ269,0)</f>
        <v>0</v>
      </c>
      <c r="AB269" s="33">
        <f>IF(AQ269="1",BH269,0)</f>
        <v>0</v>
      </c>
      <c r="AC269" s="33">
        <f>IF(AQ269="1",BI269,0)</f>
        <v>0</v>
      </c>
      <c r="AD269" s="33">
        <f>IF(AQ269="7",BH269,0)</f>
        <v>0</v>
      </c>
      <c r="AE269" s="33">
        <f>IF(AQ269="7",BI269,0)</f>
        <v>0</v>
      </c>
      <c r="AF269" s="33">
        <f>IF(AQ269="2",BH269,0)</f>
        <v>0</v>
      </c>
      <c r="AG269" s="33">
        <f>IF(AQ269="2",BI269,0)</f>
        <v>0</v>
      </c>
      <c r="AH269" s="33">
        <f>IF(AQ269="0",BJ269,0)</f>
        <v>0</v>
      </c>
      <c r="AI269" s="28"/>
      <c r="AJ269" s="16">
        <f>IF(AN269=0,K269,0)</f>
        <v>0</v>
      </c>
      <c r="AK269" s="16">
        <f>IF(AN269=15,K269,0)</f>
        <v>0</v>
      </c>
      <c r="AL269" s="16">
        <f>IF(AN269=21,K269,0)</f>
        <v>0</v>
      </c>
      <c r="AN269" s="33">
        <v>21</v>
      </c>
      <c r="AO269" s="33">
        <f>H269*0</f>
        <v>0</v>
      </c>
      <c r="AP269" s="33">
        <f>H269*(1-0)</f>
        <v>0</v>
      </c>
      <c r="AQ269" s="27" t="s">
        <v>10</v>
      </c>
      <c r="AV269" s="33">
        <f>AW269+AX269</f>
        <v>0</v>
      </c>
      <c r="AW269" s="33">
        <f>G269*AO269</f>
        <v>0</v>
      </c>
      <c r="AX269" s="33">
        <f>G269*AP269</f>
        <v>0</v>
      </c>
      <c r="AY269" s="34" t="s">
        <v>978</v>
      </c>
      <c r="AZ269" s="34" t="s">
        <v>1006</v>
      </c>
      <c r="BA269" s="28" t="s">
        <v>1007</v>
      </c>
      <c r="BC269" s="33">
        <f>AW269+AX269</f>
        <v>0</v>
      </c>
      <c r="BD269" s="33">
        <f>H269/(100-BE269)*100</f>
        <v>0</v>
      </c>
      <c r="BE269" s="33">
        <v>0</v>
      </c>
      <c r="BF269" s="33">
        <f>273</f>
        <v>273</v>
      </c>
      <c r="BH269" s="16">
        <f>G269*AO269</f>
        <v>0</v>
      </c>
      <c r="BI269" s="16">
        <f>G269*AP269</f>
        <v>0</v>
      </c>
      <c r="BJ269" s="16">
        <f>G269*H269</f>
        <v>0</v>
      </c>
    </row>
    <row r="270" spans="1:47" ht="12.75">
      <c r="A270" s="5"/>
      <c r="B270" s="13" t="s">
        <v>509</v>
      </c>
      <c r="C270" s="109" t="s">
        <v>664</v>
      </c>
      <c r="D270" s="110"/>
      <c r="E270" s="110"/>
      <c r="F270" s="5" t="s">
        <v>6</v>
      </c>
      <c r="G270" s="5" t="s">
        <v>6</v>
      </c>
      <c r="H270" s="5" t="s">
        <v>6</v>
      </c>
      <c r="I270" s="36">
        <f>SUM(I271:I271)</f>
        <v>0</v>
      </c>
      <c r="J270" s="36">
        <f>SUM(J271:J271)</f>
        <v>0</v>
      </c>
      <c r="K270" s="36">
        <f>SUM(K271:K271)</f>
        <v>0</v>
      </c>
      <c r="L270" s="28"/>
      <c r="AI270" s="28"/>
      <c r="AS270" s="36">
        <f>SUM(AJ271:AJ271)</f>
        <v>0</v>
      </c>
      <c r="AT270" s="36">
        <f>SUM(AK271:AK271)</f>
        <v>0</v>
      </c>
      <c r="AU270" s="36">
        <f>SUM(AL271:AL271)</f>
        <v>0</v>
      </c>
    </row>
    <row r="271" spans="1:62" ht="12.75">
      <c r="A271" s="4" t="s">
        <v>222</v>
      </c>
      <c r="B271" s="4" t="s">
        <v>510</v>
      </c>
      <c r="C271" s="107" t="s">
        <v>825</v>
      </c>
      <c r="D271" s="108"/>
      <c r="E271" s="108"/>
      <c r="F271" s="4" t="s">
        <v>898</v>
      </c>
      <c r="G271" s="16">
        <v>0.0635</v>
      </c>
      <c r="H271" s="16">
        <v>0</v>
      </c>
      <c r="I271" s="16">
        <f>G271*AO271</f>
        <v>0</v>
      </c>
      <c r="J271" s="16">
        <f>G271*AP271</f>
        <v>0</v>
      </c>
      <c r="K271" s="16">
        <f>G271*H271</f>
        <v>0</v>
      </c>
      <c r="L271" s="27" t="s">
        <v>922</v>
      </c>
      <c r="Z271" s="33">
        <f>IF(AQ271="5",BJ271,0)</f>
        <v>0</v>
      </c>
      <c r="AB271" s="33">
        <f>IF(AQ271="1",BH271,0)</f>
        <v>0</v>
      </c>
      <c r="AC271" s="33">
        <f>IF(AQ271="1",BI271,0)</f>
        <v>0</v>
      </c>
      <c r="AD271" s="33">
        <f>IF(AQ271="7",BH271,0)</f>
        <v>0</v>
      </c>
      <c r="AE271" s="33">
        <f>IF(AQ271="7",BI271,0)</f>
        <v>0</v>
      </c>
      <c r="AF271" s="33">
        <f>IF(AQ271="2",BH271,0)</f>
        <v>0</v>
      </c>
      <c r="AG271" s="33">
        <f>IF(AQ271="2",BI271,0)</f>
        <v>0</v>
      </c>
      <c r="AH271" s="33">
        <f>IF(AQ271="0",BJ271,0)</f>
        <v>0</v>
      </c>
      <c r="AI271" s="28"/>
      <c r="AJ271" s="16">
        <f>IF(AN271=0,K271,0)</f>
        <v>0</v>
      </c>
      <c r="AK271" s="16">
        <f>IF(AN271=15,K271,0)</f>
        <v>0</v>
      </c>
      <c r="AL271" s="16">
        <f>IF(AN271=21,K271,0)</f>
        <v>0</v>
      </c>
      <c r="AN271" s="33">
        <v>21</v>
      </c>
      <c r="AO271" s="33">
        <f>H271*0</f>
        <v>0</v>
      </c>
      <c r="AP271" s="33">
        <f>H271*(1-0)</f>
        <v>0</v>
      </c>
      <c r="AQ271" s="27" t="s">
        <v>10</v>
      </c>
      <c r="AV271" s="33">
        <f>AW271+AX271</f>
        <v>0</v>
      </c>
      <c r="AW271" s="33">
        <f>G271*AO271</f>
        <v>0</v>
      </c>
      <c r="AX271" s="33">
        <f>G271*AP271</f>
        <v>0</v>
      </c>
      <c r="AY271" s="34" t="s">
        <v>979</v>
      </c>
      <c r="AZ271" s="34" t="s">
        <v>1006</v>
      </c>
      <c r="BA271" s="28" t="s">
        <v>1007</v>
      </c>
      <c r="BC271" s="33">
        <f>AW271+AX271</f>
        <v>0</v>
      </c>
      <c r="BD271" s="33">
        <f>H271/(100-BE271)*100</f>
        <v>0</v>
      </c>
      <c r="BE271" s="33">
        <v>0</v>
      </c>
      <c r="BF271" s="33">
        <f>275</f>
        <v>275</v>
      </c>
      <c r="BH271" s="16">
        <f>G271*AO271</f>
        <v>0</v>
      </c>
      <c r="BI271" s="16">
        <f>G271*AP271</f>
        <v>0</v>
      </c>
      <c r="BJ271" s="16">
        <f>G271*H271</f>
        <v>0</v>
      </c>
    </row>
    <row r="272" spans="1:47" ht="12.75">
      <c r="A272" s="5"/>
      <c r="B272" s="13" t="s">
        <v>511</v>
      </c>
      <c r="C272" s="109" t="s">
        <v>667</v>
      </c>
      <c r="D272" s="110"/>
      <c r="E272" s="110"/>
      <c r="F272" s="5" t="s">
        <v>6</v>
      </c>
      <c r="G272" s="5" t="s">
        <v>6</v>
      </c>
      <c r="H272" s="5" t="s">
        <v>6</v>
      </c>
      <c r="I272" s="36">
        <f>SUM(I273:I273)</f>
        <v>0</v>
      </c>
      <c r="J272" s="36">
        <f>SUM(J273:J273)</f>
        <v>0</v>
      </c>
      <c r="K272" s="36">
        <f>SUM(K273:K273)</f>
        <v>0</v>
      </c>
      <c r="L272" s="28"/>
      <c r="AI272" s="28"/>
      <c r="AS272" s="36">
        <f>SUM(AJ273:AJ273)</f>
        <v>0</v>
      </c>
      <c r="AT272" s="36">
        <f>SUM(AK273:AK273)</f>
        <v>0</v>
      </c>
      <c r="AU272" s="36">
        <f>SUM(AL273:AL273)</f>
        <v>0</v>
      </c>
    </row>
    <row r="273" spans="1:62" ht="12.75">
      <c r="A273" s="4" t="s">
        <v>223</v>
      </c>
      <c r="B273" s="4" t="s">
        <v>512</v>
      </c>
      <c r="C273" s="107" t="s">
        <v>826</v>
      </c>
      <c r="D273" s="108"/>
      <c r="E273" s="108"/>
      <c r="F273" s="4" t="s">
        <v>898</v>
      </c>
      <c r="G273" s="16">
        <v>1.0624</v>
      </c>
      <c r="H273" s="16">
        <v>0</v>
      </c>
      <c r="I273" s="16">
        <f>G273*AO273</f>
        <v>0</v>
      </c>
      <c r="J273" s="16">
        <f>G273*AP273</f>
        <v>0</v>
      </c>
      <c r="K273" s="16">
        <f>G273*H273</f>
        <v>0</v>
      </c>
      <c r="L273" s="27" t="s">
        <v>922</v>
      </c>
      <c r="Z273" s="33">
        <f>IF(AQ273="5",BJ273,0)</f>
        <v>0</v>
      </c>
      <c r="AB273" s="33">
        <f>IF(AQ273="1",BH273,0)</f>
        <v>0</v>
      </c>
      <c r="AC273" s="33">
        <f>IF(AQ273="1",BI273,0)</f>
        <v>0</v>
      </c>
      <c r="AD273" s="33">
        <f>IF(AQ273="7",BH273,0)</f>
        <v>0</v>
      </c>
      <c r="AE273" s="33">
        <f>IF(AQ273="7",BI273,0)</f>
        <v>0</v>
      </c>
      <c r="AF273" s="33">
        <f>IF(AQ273="2",BH273,0)</f>
        <v>0</v>
      </c>
      <c r="AG273" s="33">
        <f>IF(AQ273="2",BI273,0)</f>
        <v>0</v>
      </c>
      <c r="AH273" s="33">
        <f>IF(AQ273="0",BJ273,0)</f>
        <v>0</v>
      </c>
      <c r="AI273" s="28"/>
      <c r="AJ273" s="16">
        <f>IF(AN273=0,K273,0)</f>
        <v>0</v>
      </c>
      <c r="AK273" s="16">
        <f>IF(AN273=15,K273,0)</f>
        <v>0</v>
      </c>
      <c r="AL273" s="16">
        <f>IF(AN273=21,K273,0)</f>
        <v>0</v>
      </c>
      <c r="AN273" s="33">
        <v>21</v>
      </c>
      <c r="AO273" s="33">
        <f>H273*0</f>
        <v>0</v>
      </c>
      <c r="AP273" s="33">
        <f>H273*(1-0)</f>
        <v>0</v>
      </c>
      <c r="AQ273" s="27" t="s">
        <v>10</v>
      </c>
      <c r="AV273" s="33">
        <f>AW273+AX273</f>
        <v>0</v>
      </c>
      <c r="AW273" s="33">
        <f>G273*AO273</f>
        <v>0</v>
      </c>
      <c r="AX273" s="33">
        <f>G273*AP273</f>
        <v>0</v>
      </c>
      <c r="AY273" s="34" t="s">
        <v>980</v>
      </c>
      <c r="AZ273" s="34" t="s">
        <v>1006</v>
      </c>
      <c r="BA273" s="28" t="s">
        <v>1007</v>
      </c>
      <c r="BC273" s="33">
        <f>AW273+AX273</f>
        <v>0</v>
      </c>
      <c r="BD273" s="33">
        <f>H273/(100-BE273)*100</f>
        <v>0</v>
      </c>
      <c r="BE273" s="33">
        <v>0</v>
      </c>
      <c r="BF273" s="33">
        <f>277</f>
        <v>277</v>
      </c>
      <c r="BH273" s="16">
        <f>G273*AO273</f>
        <v>0</v>
      </c>
      <c r="BI273" s="16">
        <f>G273*AP273</f>
        <v>0</v>
      </c>
      <c r="BJ273" s="16">
        <f>G273*H273</f>
        <v>0</v>
      </c>
    </row>
    <row r="274" spans="1:47" ht="12.75">
      <c r="A274" s="5"/>
      <c r="B274" s="13" t="s">
        <v>513</v>
      </c>
      <c r="C274" s="109" t="s">
        <v>674</v>
      </c>
      <c r="D274" s="110"/>
      <c r="E274" s="110"/>
      <c r="F274" s="5" t="s">
        <v>6</v>
      </c>
      <c r="G274" s="5" t="s">
        <v>6</v>
      </c>
      <c r="H274" s="5" t="s">
        <v>6</v>
      </c>
      <c r="I274" s="36">
        <f>SUM(I275:I275)</f>
        <v>0</v>
      </c>
      <c r="J274" s="36">
        <f>SUM(J275:J275)</f>
        <v>0</v>
      </c>
      <c r="K274" s="36">
        <f>SUM(K275:K275)</f>
        <v>0</v>
      </c>
      <c r="L274" s="28"/>
      <c r="AI274" s="28"/>
      <c r="AS274" s="36">
        <f>SUM(AJ275:AJ275)</f>
        <v>0</v>
      </c>
      <c r="AT274" s="36">
        <f>SUM(AK275:AK275)</f>
        <v>0</v>
      </c>
      <c r="AU274" s="36">
        <f>SUM(AL275:AL275)</f>
        <v>0</v>
      </c>
    </row>
    <row r="275" spans="1:62" ht="12.75">
      <c r="A275" s="4" t="s">
        <v>224</v>
      </c>
      <c r="B275" s="4" t="s">
        <v>514</v>
      </c>
      <c r="C275" s="107" t="s">
        <v>827</v>
      </c>
      <c r="D275" s="108"/>
      <c r="E275" s="108"/>
      <c r="F275" s="4" t="s">
        <v>898</v>
      </c>
      <c r="G275" s="16">
        <v>0.2849</v>
      </c>
      <c r="H275" s="16">
        <v>0</v>
      </c>
      <c r="I275" s="16">
        <f>G275*AO275</f>
        <v>0</v>
      </c>
      <c r="J275" s="16">
        <f>G275*AP275</f>
        <v>0</v>
      </c>
      <c r="K275" s="16">
        <f>G275*H275</f>
        <v>0</v>
      </c>
      <c r="L275" s="27" t="s">
        <v>922</v>
      </c>
      <c r="Z275" s="33">
        <f>IF(AQ275="5",BJ275,0)</f>
        <v>0</v>
      </c>
      <c r="AB275" s="33">
        <f>IF(AQ275="1",BH275,0)</f>
        <v>0</v>
      </c>
      <c r="AC275" s="33">
        <f>IF(AQ275="1",BI275,0)</f>
        <v>0</v>
      </c>
      <c r="AD275" s="33">
        <f>IF(AQ275="7",BH275,0)</f>
        <v>0</v>
      </c>
      <c r="AE275" s="33">
        <f>IF(AQ275="7",BI275,0)</f>
        <v>0</v>
      </c>
      <c r="AF275" s="33">
        <f>IF(AQ275="2",BH275,0)</f>
        <v>0</v>
      </c>
      <c r="AG275" s="33">
        <f>IF(AQ275="2",BI275,0)</f>
        <v>0</v>
      </c>
      <c r="AH275" s="33">
        <f>IF(AQ275="0",BJ275,0)</f>
        <v>0</v>
      </c>
      <c r="AI275" s="28"/>
      <c r="AJ275" s="16">
        <f>IF(AN275=0,K275,0)</f>
        <v>0</v>
      </c>
      <c r="AK275" s="16">
        <f>IF(AN275=15,K275,0)</f>
        <v>0</v>
      </c>
      <c r="AL275" s="16">
        <f>IF(AN275=21,K275,0)</f>
        <v>0</v>
      </c>
      <c r="AN275" s="33">
        <v>21</v>
      </c>
      <c r="AO275" s="33">
        <f>H275*0</f>
        <v>0</v>
      </c>
      <c r="AP275" s="33">
        <f>H275*(1-0)</f>
        <v>0</v>
      </c>
      <c r="AQ275" s="27" t="s">
        <v>10</v>
      </c>
      <c r="AV275" s="33">
        <f>AW275+AX275</f>
        <v>0</v>
      </c>
      <c r="AW275" s="33">
        <f>G275*AO275</f>
        <v>0</v>
      </c>
      <c r="AX275" s="33">
        <f>G275*AP275</f>
        <v>0</v>
      </c>
      <c r="AY275" s="34" t="s">
        <v>981</v>
      </c>
      <c r="AZ275" s="34" t="s">
        <v>1006</v>
      </c>
      <c r="BA275" s="28" t="s">
        <v>1007</v>
      </c>
      <c r="BC275" s="33">
        <f>AW275+AX275</f>
        <v>0</v>
      </c>
      <c r="BD275" s="33">
        <f>H275/(100-BE275)*100</f>
        <v>0</v>
      </c>
      <c r="BE275" s="33">
        <v>0</v>
      </c>
      <c r="BF275" s="33">
        <f>279</f>
        <v>279</v>
      </c>
      <c r="BH275" s="16">
        <f>G275*AO275</f>
        <v>0</v>
      </c>
      <c r="BI275" s="16">
        <f>G275*AP275</f>
        <v>0</v>
      </c>
      <c r="BJ275" s="16">
        <f>G275*H275</f>
        <v>0</v>
      </c>
    </row>
    <row r="276" spans="1:47" ht="12.75">
      <c r="A276" s="5"/>
      <c r="B276" s="13" t="s">
        <v>515</v>
      </c>
      <c r="C276" s="109" t="s">
        <v>688</v>
      </c>
      <c r="D276" s="110"/>
      <c r="E276" s="110"/>
      <c r="F276" s="5" t="s">
        <v>6</v>
      </c>
      <c r="G276" s="5" t="s">
        <v>6</v>
      </c>
      <c r="H276" s="5" t="s">
        <v>6</v>
      </c>
      <c r="I276" s="36">
        <f>SUM(I277:I277)</f>
        <v>0</v>
      </c>
      <c r="J276" s="36">
        <f>SUM(J277:J277)</f>
        <v>0</v>
      </c>
      <c r="K276" s="36">
        <f>SUM(K277:K277)</f>
        <v>0</v>
      </c>
      <c r="L276" s="28"/>
      <c r="AI276" s="28"/>
      <c r="AS276" s="36">
        <f>SUM(AJ277:AJ277)</f>
        <v>0</v>
      </c>
      <c r="AT276" s="36">
        <f>SUM(AK277:AK277)</f>
        <v>0</v>
      </c>
      <c r="AU276" s="36">
        <f>SUM(AL277:AL277)</f>
        <v>0</v>
      </c>
    </row>
    <row r="277" spans="1:62" ht="12.75">
      <c r="A277" s="4" t="s">
        <v>225</v>
      </c>
      <c r="B277" s="4" t="s">
        <v>516</v>
      </c>
      <c r="C277" s="107" t="s">
        <v>828</v>
      </c>
      <c r="D277" s="108"/>
      <c r="E277" s="108"/>
      <c r="F277" s="4" t="s">
        <v>898</v>
      </c>
      <c r="G277" s="16">
        <v>0.4335</v>
      </c>
      <c r="H277" s="16">
        <v>0</v>
      </c>
      <c r="I277" s="16">
        <f>G277*AO277</f>
        <v>0</v>
      </c>
      <c r="J277" s="16">
        <f>G277*AP277</f>
        <v>0</v>
      </c>
      <c r="K277" s="16">
        <f>G277*H277</f>
        <v>0</v>
      </c>
      <c r="L277" s="27" t="s">
        <v>922</v>
      </c>
      <c r="Z277" s="33">
        <f>IF(AQ277="5",BJ277,0)</f>
        <v>0</v>
      </c>
      <c r="AB277" s="33">
        <f>IF(AQ277="1",BH277,0)</f>
        <v>0</v>
      </c>
      <c r="AC277" s="33">
        <f>IF(AQ277="1",BI277,0)</f>
        <v>0</v>
      </c>
      <c r="AD277" s="33">
        <f>IF(AQ277="7",BH277,0)</f>
        <v>0</v>
      </c>
      <c r="AE277" s="33">
        <f>IF(AQ277="7",BI277,0)</f>
        <v>0</v>
      </c>
      <c r="AF277" s="33">
        <f>IF(AQ277="2",BH277,0)</f>
        <v>0</v>
      </c>
      <c r="AG277" s="33">
        <f>IF(AQ277="2",BI277,0)</f>
        <v>0</v>
      </c>
      <c r="AH277" s="33">
        <f>IF(AQ277="0",BJ277,0)</f>
        <v>0</v>
      </c>
      <c r="AI277" s="28"/>
      <c r="AJ277" s="16">
        <f>IF(AN277=0,K277,0)</f>
        <v>0</v>
      </c>
      <c r="AK277" s="16">
        <f>IF(AN277=15,K277,0)</f>
        <v>0</v>
      </c>
      <c r="AL277" s="16">
        <f>IF(AN277=21,K277,0)</f>
        <v>0</v>
      </c>
      <c r="AN277" s="33">
        <v>21</v>
      </c>
      <c r="AO277" s="33">
        <f>H277*0</f>
        <v>0</v>
      </c>
      <c r="AP277" s="33">
        <f>H277*(1-0)</f>
        <v>0</v>
      </c>
      <c r="AQ277" s="27" t="s">
        <v>10</v>
      </c>
      <c r="AV277" s="33">
        <f>AW277+AX277</f>
        <v>0</v>
      </c>
      <c r="AW277" s="33">
        <f>G277*AO277</f>
        <v>0</v>
      </c>
      <c r="AX277" s="33">
        <f>G277*AP277</f>
        <v>0</v>
      </c>
      <c r="AY277" s="34" t="s">
        <v>982</v>
      </c>
      <c r="AZ277" s="34" t="s">
        <v>1006</v>
      </c>
      <c r="BA277" s="28" t="s">
        <v>1007</v>
      </c>
      <c r="BC277" s="33">
        <f>AW277+AX277</f>
        <v>0</v>
      </c>
      <c r="BD277" s="33">
        <f>H277/(100-BE277)*100</f>
        <v>0</v>
      </c>
      <c r="BE277" s="33">
        <v>0</v>
      </c>
      <c r="BF277" s="33">
        <f>281</f>
        <v>281</v>
      </c>
      <c r="BH277" s="16">
        <f>G277*AO277</f>
        <v>0</v>
      </c>
      <c r="BI277" s="16">
        <f>G277*AP277</f>
        <v>0</v>
      </c>
      <c r="BJ277" s="16">
        <f>G277*H277</f>
        <v>0</v>
      </c>
    </row>
    <row r="278" spans="1:47" ht="12.75">
      <c r="A278" s="5"/>
      <c r="B278" s="13" t="s">
        <v>517</v>
      </c>
      <c r="C278" s="109" t="s">
        <v>727</v>
      </c>
      <c r="D278" s="110"/>
      <c r="E278" s="110"/>
      <c r="F278" s="5" t="s">
        <v>6</v>
      </c>
      <c r="G278" s="5" t="s">
        <v>6</v>
      </c>
      <c r="H278" s="5" t="s">
        <v>6</v>
      </c>
      <c r="I278" s="36">
        <f>SUM(I279:I279)</f>
        <v>0</v>
      </c>
      <c r="J278" s="36">
        <f>SUM(J279:J279)</f>
        <v>0</v>
      </c>
      <c r="K278" s="36">
        <f>SUM(K279:K279)</f>
        <v>0</v>
      </c>
      <c r="L278" s="28"/>
      <c r="AI278" s="28"/>
      <c r="AS278" s="36">
        <f>SUM(AJ279:AJ279)</f>
        <v>0</v>
      </c>
      <c r="AT278" s="36">
        <f>SUM(AK279:AK279)</f>
        <v>0</v>
      </c>
      <c r="AU278" s="36">
        <f>SUM(AL279:AL279)</f>
        <v>0</v>
      </c>
    </row>
    <row r="279" spans="1:62" ht="12.75">
      <c r="A279" s="4" t="s">
        <v>226</v>
      </c>
      <c r="B279" s="4" t="s">
        <v>518</v>
      </c>
      <c r="C279" s="107" t="s">
        <v>829</v>
      </c>
      <c r="D279" s="108"/>
      <c r="E279" s="108"/>
      <c r="F279" s="4" t="s">
        <v>898</v>
      </c>
      <c r="G279" s="16">
        <v>4.5503</v>
      </c>
      <c r="H279" s="16">
        <v>0</v>
      </c>
      <c r="I279" s="16">
        <f>G279*AO279</f>
        <v>0</v>
      </c>
      <c r="J279" s="16">
        <f>G279*AP279</f>
        <v>0</v>
      </c>
      <c r="K279" s="16">
        <f>G279*H279</f>
        <v>0</v>
      </c>
      <c r="L279" s="27" t="s">
        <v>922</v>
      </c>
      <c r="Z279" s="33">
        <f>IF(AQ279="5",BJ279,0)</f>
        <v>0</v>
      </c>
      <c r="AB279" s="33">
        <f>IF(AQ279="1",BH279,0)</f>
        <v>0</v>
      </c>
      <c r="AC279" s="33">
        <f>IF(AQ279="1",BI279,0)</f>
        <v>0</v>
      </c>
      <c r="AD279" s="33">
        <f>IF(AQ279="7",BH279,0)</f>
        <v>0</v>
      </c>
      <c r="AE279" s="33">
        <f>IF(AQ279="7",BI279,0)</f>
        <v>0</v>
      </c>
      <c r="AF279" s="33">
        <f>IF(AQ279="2",BH279,0)</f>
        <v>0</v>
      </c>
      <c r="AG279" s="33">
        <f>IF(AQ279="2",BI279,0)</f>
        <v>0</v>
      </c>
      <c r="AH279" s="33">
        <f>IF(AQ279="0",BJ279,0)</f>
        <v>0</v>
      </c>
      <c r="AI279" s="28"/>
      <c r="AJ279" s="16">
        <f>IF(AN279=0,K279,0)</f>
        <v>0</v>
      </c>
      <c r="AK279" s="16">
        <f>IF(AN279=15,K279,0)</f>
        <v>0</v>
      </c>
      <c r="AL279" s="16">
        <f>IF(AN279=21,K279,0)</f>
        <v>0</v>
      </c>
      <c r="AN279" s="33">
        <v>21</v>
      </c>
      <c r="AO279" s="33">
        <f>H279*0</f>
        <v>0</v>
      </c>
      <c r="AP279" s="33">
        <f>H279*(1-0)</f>
        <v>0</v>
      </c>
      <c r="AQ279" s="27" t="s">
        <v>10</v>
      </c>
      <c r="AV279" s="33">
        <f>AW279+AX279</f>
        <v>0</v>
      </c>
      <c r="AW279" s="33">
        <f>G279*AO279</f>
        <v>0</v>
      </c>
      <c r="AX279" s="33">
        <f>G279*AP279</f>
        <v>0</v>
      </c>
      <c r="AY279" s="34" t="s">
        <v>983</v>
      </c>
      <c r="AZ279" s="34" t="s">
        <v>1006</v>
      </c>
      <c r="BA279" s="28" t="s">
        <v>1007</v>
      </c>
      <c r="BC279" s="33">
        <f>AW279+AX279</f>
        <v>0</v>
      </c>
      <c r="BD279" s="33">
        <f>H279/(100-BE279)*100</f>
        <v>0</v>
      </c>
      <c r="BE279" s="33">
        <v>0</v>
      </c>
      <c r="BF279" s="33">
        <f>283</f>
        <v>283</v>
      </c>
      <c r="BH279" s="16">
        <f>G279*AO279</f>
        <v>0</v>
      </c>
      <c r="BI279" s="16">
        <f>G279*AP279</f>
        <v>0</v>
      </c>
      <c r="BJ279" s="16">
        <f>G279*H279</f>
        <v>0</v>
      </c>
    </row>
    <row r="280" spans="1:47" ht="12.75">
      <c r="A280" s="5"/>
      <c r="B280" s="13" t="s">
        <v>519</v>
      </c>
      <c r="C280" s="109" t="s">
        <v>737</v>
      </c>
      <c r="D280" s="110"/>
      <c r="E280" s="110"/>
      <c r="F280" s="5" t="s">
        <v>6</v>
      </c>
      <c r="G280" s="5" t="s">
        <v>6</v>
      </c>
      <c r="H280" s="5" t="s">
        <v>6</v>
      </c>
      <c r="I280" s="36">
        <f>SUM(I281:I281)</f>
        <v>0</v>
      </c>
      <c r="J280" s="36">
        <f>SUM(J281:J281)</f>
        <v>0</v>
      </c>
      <c r="K280" s="36">
        <f>SUM(K281:K281)</f>
        <v>0</v>
      </c>
      <c r="L280" s="28"/>
      <c r="AI280" s="28"/>
      <c r="AS280" s="36">
        <f>SUM(AJ281:AJ281)</f>
        <v>0</v>
      </c>
      <c r="AT280" s="36">
        <f>SUM(AK281:AK281)</f>
        <v>0</v>
      </c>
      <c r="AU280" s="36">
        <f>SUM(AL281:AL281)</f>
        <v>0</v>
      </c>
    </row>
    <row r="281" spans="1:62" ht="12.75">
      <c r="A281" s="4" t="s">
        <v>227</v>
      </c>
      <c r="B281" s="4" t="s">
        <v>520</v>
      </c>
      <c r="C281" s="107" t="s">
        <v>830</v>
      </c>
      <c r="D281" s="108"/>
      <c r="E281" s="108"/>
      <c r="F281" s="4" t="s">
        <v>898</v>
      </c>
      <c r="G281" s="16">
        <v>2.5922</v>
      </c>
      <c r="H281" s="16">
        <v>0</v>
      </c>
      <c r="I281" s="16">
        <f>G281*AO281</f>
        <v>0</v>
      </c>
      <c r="J281" s="16">
        <f>G281*AP281</f>
        <v>0</v>
      </c>
      <c r="K281" s="16">
        <f>G281*H281</f>
        <v>0</v>
      </c>
      <c r="L281" s="27" t="s">
        <v>922</v>
      </c>
      <c r="Z281" s="33">
        <f>IF(AQ281="5",BJ281,0)</f>
        <v>0</v>
      </c>
      <c r="AB281" s="33">
        <f>IF(AQ281="1",BH281,0)</f>
        <v>0</v>
      </c>
      <c r="AC281" s="33">
        <f>IF(AQ281="1",BI281,0)</f>
        <v>0</v>
      </c>
      <c r="AD281" s="33">
        <f>IF(AQ281="7",BH281,0)</f>
        <v>0</v>
      </c>
      <c r="AE281" s="33">
        <f>IF(AQ281="7",BI281,0)</f>
        <v>0</v>
      </c>
      <c r="AF281" s="33">
        <f>IF(AQ281="2",BH281,0)</f>
        <v>0</v>
      </c>
      <c r="AG281" s="33">
        <f>IF(AQ281="2",BI281,0)</f>
        <v>0</v>
      </c>
      <c r="AH281" s="33">
        <f>IF(AQ281="0",BJ281,0)</f>
        <v>0</v>
      </c>
      <c r="AI281" s="28"/>
      <c r="AJ281" s="16">
        <f>IF(AN281=0,K281,0)</f>
        <v>0</v>
      </c>
      <c r="AK281" s="16">
        <f>IF(AN281=15,K281,0)</f>
        <v>0</v>
      </c>
      <c r="AL281" s="16">
        <f>IF(AN281=21,K281,0)</f>
        <v>0</v>
      </c>
      <c r="AN281" s="33">
        <v>21</v>
      </c>
      <c r="AO281" s="33">
        <f>H281*0</f>
        <v>0</v>
      </c>
      <c r="AP281" s="33">
        <f>H281*(1-0)</f>
        <v>0</v>
      </c>
      <c r="AQ281" s="27" t="s">
        <v>10</v>
      </c>
      <c r="AV281" s="33">
        <f>AW281+AX281</f>
        <v>0</v>
      </c>
      <c r="AW281" s="33">
        <f>G281*AO281</f>
        <v>0</v>
      </c>
      <c r="AX281" s="33">
        <f>G281*AP281</f>
        <v>0</v>
      </c>
      <c r="AY281" s="34" t="s">
        <v>984</v>
      </c>
      <c r="AZ281" s="34" t="s">
        <v>1006</v>
      </c>
      <c r="BA281" s="28" t="s">
        <v>1007</v>
      </c>
      <c r="BC281" s="33">
        <f>AW281+AX281</f>
        <v>0</v>
      </c>
      <c r="BD281" s="33">
        <f>H281/(100-BE281)*100</f>
        <v>0</v>
      </c>
      <c r="BE281" s="33">
        <v>0</v>
      </c>
      <c r="BF281" s="33">
        <f>285</f>
        <v>285</v>
      </c>
      <c r="BH281" s="16">
        <f>G281*AO281</f>
        <v>0</v>
      </c>
      <c r="BI281" s="16">
        <f>G281*AP281</f>
        <v>0</v>
      </c>
      <c r="BJ281" s="16">
        <f>G281*H281</f>
        <v>0</v>
      </c>
    </row>
    <row r="282" spans="1:47" ht="12.75">
      <c r="A282" s="5"/>
      <c r="B282" s="13" t="s">
        <v>521</v>
      </c>
      <c r="C282" s="109" t="s">
        <v>741</v>
      </c>
      <c r="D282" s="110"/>
      <c r="E282" s="110"/>
      <c r="F282" s="5" t="s">
        <v>6</v>
      </c>
      <c r="G282" s="5" t="s">
        <v>6</v>
      </c>
      <c r="H282" s="5" t="s">
        <v>6</v>
      </c>
      <c r="I282" s="36">
        <f>SUM(I283:I283)</f>
        <v>0</v>
      </c>
      <c r="J282" s="36">
        <f>SUM(J283:J283)</f>
        <v>0</v>
      </c>
      <c r="K282" s="36">
        <f>SUM(K283:K283)</f>
        <v>0</v>
      </c>
      <c r="L282" s="28"/>
      <c r="AI282" s="28"/>
      <c r="AS282" s="36">
        <f>SUM(AJ283:AJ283)</f>
        <v>0</v>
      </c>
      <c r="AT282" s="36">
        <f>SUM(AK283:AK283)</f>
        <v>0</v>
      </c>
      <c r="AU282" s="36">
        <f>SUM(AL283:AL283)</f>
        <v>0</v>
      </c>
    </row>
    <row r="283" spans="1:62" ht="12.75">
      <c r="A283" s="4" t="s">
        <v>228</v>
      </c>
      <c r="B283" s="4" t="s">
        <v>522</v>
      </c>
      <c r="C283" s="107" t="s">
        <v>831</v>
      </c>
      <c r="D283" s="108"/>
      <c r="E283" s="108"/>
      <c r="F283" s="4" t="s">
        <v>898</v>
      </c>
      <c r="G283" s="16">
        <v>0.8194</v>
      </c>
      <c r="H283" s="16">
        <v>0</v>
      </c>
      <c r="I283" s="16">
        <f>G283*AO283</f>
        <v>0</v>
      </c>
      <c r="J283" s="16">
        <f>G283*AP283</f>
        <v>0</v>
      </c>
      <c r="K283" s="16">
        <f>G283*H283</f>
        <v>0</v>
      </c>
      <c r="L283" s="27" t="s">
        <v>922</v>
      </c>
      <c r="Z283" s="33">
        <f>IF(AQ283="5",BJ283,0)</f>
        <v>0</v>
      </c>
      <c r="AB283" s="33">
        <f>IF(AQ283="1",BH283,0)</f>
        <v>0</v>
      </c>
      <c r="AC283" s="33">
        <f>IF(AQ283="1",BI283,0)</f>
        <v>0</v>
      </c>
      <c r="AD283" s="33">
        <f>IF(AQ283="7",BH283,0)</f>
        <v>0</v>
      </c>
      <c r="AE283" s="33">
        <f>IF(AQ283="7",BI283,0)</f>
        <v>0</v>
      </c>
      <c r="AF283" s="33">
        <f>IF(AQ283="2",BH283,0)</f>
        <v>0</v>
      </c>
      <c r="AG283" s="33">
        <f>IF(AQ283="2",BI283,0)</f>
        <v>0</v>
      </c>
      <c r="AH283" s="33">
        <f>IF(AQ283="0",BJ283,0)</f>
        <v>0</v>
      </c>
      <c r="AI283" s="28"/>
      <c r="AJ283" s="16">
        <f>IF(AN283=0,K283,0)</f>
        <v>0</v>
      </c>
      <c r="AK283" s="16">
        <f>IF(AN283=15,K283,0)</f>
        <v>0</v>
      </c>
      <c r="AL283" s="16">
        <f>IF(AN283=21,K283,0)</f>
        <v>0</v>
      </c>
      <c r="AN283" s="33">
        <v>21</v>
      </c>
      <c r="AO283" s="33">
        <f>H283*0</f>
        <v>0</v>
      </c>
      <c r="AP283" s="33">
        <f>H283*(1-0)</f>
        <v>0</v>
      </c>
      <c r="AQ283" s="27" t="s">
        <v>10</v>
      </c>
      <c r="AV283" s="33">
        <f>AW283+AX283</f>
        <v>0</v>
      </c>
      <c r="AW283" s="33">
        <f>G283*AO283</f>
        <v>0</v>
      </c>
      <c r="AX283" s="33">
        <f>G283*AP283</f>
        <v>0</v>
      </c>
      <c r="AY283" s="34" t="s">
        <v>985</v>
      </c>
      <c r="AZ283" s="34" t="s">
        <v>1006</v>
      </c>
      <c r="BA283" s="28" t="s">
        <v>1007</v>
      </c>
      <c r="BC283" s="33">
        <f>AW283+AX283</f>
        <v>0</v>
      </c>
      <c r="BD283" s="33">
        <f>H283/(100-BE283)*100</f>
        <v>0</v>
      </c>
      <c r="BE283" s="33">
        <v>0</v>
      </c>
      <c r="BF283" s="33">
        <f>287</f>
        <v>287</v>
      </c>
      <c r="BH283" s="16">
        <f>G283*AO283</f>
        <v>0</v>
      </c>
      <c r="BI283" s="16">
        <f>G283*AP283</f>
        <v>0</v>
      </c>
      <c r="BJ283" s="16">
        <f>G283*H283</f>
        <v>0</v>
      </c>
    </row>
    <row r="284" spans="1:47" ht="12.75">
      <c r="A284" s="5"/>
      <c r="B284" s="13" t="s">
        <v>523</v>
      </c>
      <c r="C284" s="109" t="s">
        <v>752</v>
      </c>
      <c r="D284" s="110"/>
      <c r="E284" s="110"/>
      <c r="F284" s="5" t="s">
        <v>6</v>
      </c>
      <c r="G284" s="5" t="s">
        <v>6</v>
      </c>
      <c r="H284" s="5" t="s">
        <v>6</v>
      </c>
      <c r="I284" s="36">
        <f>SUM(I285:I285)</f>
        <v>0</v>
      </c>
      <c r="J284" s="36">
        <f>SUM(J285:J285)</f>
        <v>0</v>
      </c>
      <c r="K284" s="36">
        <f>SUM(K285:K285)</f>
        <v>0</v>
      </c>
      <c r="L284" s="28"/>
      <c r="AI284" s="28"/>
      <c r="AS284" s="36">
        <f>SUM(AJ285:AJ285)</f>
        <v>0</v>
      </c>
      <c r="AT284" s="36">
        <f>SUM(AK285:AK285)</f>
        <v>0</v>
      </c>
      <c r="AU284" s="36">
        <f>SUM(AL285:AL285)</f>
        <v>0</v>
      </c>
    </row>
    <row r="285" spans="1:62" ht="12.75">
      <c r="A285" s="4" t="s">
        <v>229</v>
      </c>
      <c r="B285" s="4" t="s">
        <v>524</v>
      </c>
      <c r="C285" s="107" t="s">
        <v>832</v>
      </c>
      <c r="D285" s="108"/>
      <c r="E285" s="108"/>
      <c r="F285" s="4" t="s">
        <v>898</v>
      </c>
      <c r="G285" s="16">
        <v>0.4536</v>
      </c>
      <c r="H285" s="16">
        <v>0</v>
      </c>
      <c r="I285" s="16">
        <f>G285*AO285</f>
        <v>0</v>
      </c>
      <c r="J285" s="16">
        <f>G285*AP285</f>
        <v>0</v>
      </c>
      <c r="K285" s="16">
        <f>G285*H285</f>
        <v>0</v>
      </c>
      <c r="L285" s="27" t="s">
        <v>922</v>
      </c>
      <c r="Z285" s="33">
        <f>IF(AQ285="5",BJ285,0)</f>
        <v>0</v>
      </c>
      <c r="AB285" s="33">
        <f>IF(AQ285="1",BH285,0)</f>
        <v>0</v>
      </c>
      <c r="AC285" s="33">
        <f>IF(AQ285="1",BI285,0)</f>
        <v>0</v>
      </c>
      <c r="AD285" s="33">
        <f>IF(AQ285="7",BH285,0)</f>
        <v>0</v>
      </c>
      <c r="AE285" s="33">
        <f>IF(AQ285="7",BI285,0)</f>
        <v>0</v>
      </c>
      <c r="AF285" s="33">
        <f>IF(AQ285="2",BH285,0)</f>
        <v>0</v>
      </c>
      <c r="AG285" s="33">
        <f>IF(AQ285="2",BI285,0)</f>
        <v>0</v>
      </c>
      <c r="AH285" s="33">
        <f>IF(AQ285="0",BJ285,0)</f>
        <v>0</v>
      </c>
      <c r="AI285" s="28"/>
      <c r="AJ285" s="16">
        <f>IF(AN285=0,K285,0)</f>
        <v>0</v>
      </c>
      <c r="AK285" s="16">
        <f>IF(AN285=15,K285,0)</f>
        <v>0</v>
      </c>
      <c r="AL285" s="16">
        <f>IF(AN285=21,K285,0)</f>
        <v>0</v>
      </c>
      <c r="AN285" s="33">
        <v>21</v>
      </c>
      <c r="AO285" s="33">
        <f>H285*0</f>
        <v>0</v>
      </c>
      <c r="AP285" s="33">
        <f>H285*(1-0)</f>
        <v>0</v>
      </c>
      <c r="AQ285" s="27" t="s">
        <v>10</v>
      </c>
      <c r="AV285" s="33">
        <f>AW285+AX285</f>
        <v>0</v>
      </c>
      <c r="AW285" s="33">
        <f>G285*AO285</f>
        <v>0</v>
      </c>
      <c r="AX285" s="33">
        <f>G285*AP285</f>
        <v>0</v>
      </c>
      <c r="AY285" s="34" t="s">
        <v>986</v>
      </c>
      <c r="AZ285" s="34" t="s">
        <v>1006</v>
      </c>
      <c r="BA285" s="28" t="s">
        <v>1007</v>
      </c>
      <c r="BC285" s="33">
        <f>AW285+AX285</f>
        <v>0</v>
      </c>
      <c r="BD285" s="33">
        <f>H285/(100-BE285)*100</f>
        <v>0</v>
      </c>
      <c r="BE285" s="33">
        <v>0</v>
      </c>
      <c r="BF285" s="33">
        <f>289</f>
        <v>289</v>
      </c>
      <c r="BH285" s="16">
        <f>G285*AO285</f>
        <v>0</v>
      </c>
      <c r="BI285" s="16">
        <f>G285*AP285</f>
        <v>0</v>
      </c>
      <c r="BJ285" s="16">
        <f>G285*H285</f>
        <v>0</v>
      </c>
    </row>
    <row r="286" spans="1:47" ht="12.75">
      <c r="A286" s="5"/>
      <c r="B286" s="13" t="s">
        <v>525</v>
      </c>
      <c r="C286" s="109" t="s">
        <v>767</v>
      </c>
      <c r="D286" s="110"/>
      <c r="E286" s="110"/>
      <c r="F286" s="5" t="s">
        <v>6</v>
      </c>
      <c r="G286" s="5" t="s">
        <v>6</v>
      </c>
      <c r="H286" s="5" t="s">
        <v>6</v>
      </c>
      <c r="I286" s="36">
        <f>SUM(I287:I287)</f>
        <v>0</v>
      </c>
      <c r="J286" s="36">
        <f>SUM(J287:J287)</f>
        <v>0</v>
      </c>
      <c r="K286" s="36">
        <f>SUM(K287:K287)</f>
        <v>0</v>
      </c>
      <c r="L286" s="28"/>
      <c r="AI286" s="28"/>
      <c r="AS286" s="36">
        <f>SUM(AJ287:AJ287)</f>
        <v>0</v>
      </c>
      <c r="AT286" s="36">
        <f>SUM(AK287:AK287)</f>
        <v>0</v>
      </c>
      <c r="AU286" s="36">
        <f>SUM(AL287:AL287)</f>
        <v>0</v>
      </c>
    </row>
    <row r="287" spans="1:62" ht="12.75">
      <c r="A287" s="4" t="s">
        <v>230</v>
      </c>
      <c r="B287" s="4" t="s">
        <v>526</v>
      </c>
      <c r="C287" s="107" t="s">
        <v>833</v>
      </c>
      <c r="D287" s="108"/>
      <c r="E287" s="108"/>
      <c r="F287" s="4" t="s">
        <v>898</v>
      </c>
      <c r="G287" s="16">
        <v>2.5991</v>
      </c>
      <c r="H287" s="16">
        <v>0</v>
      </c>
      <c r="I287" s="16">
        <f>G287*AO287</f>
        <v>0</v>
      </c>
      <c r="J287" s="16">
        <f>G287*AP287</f>
        <v>0</v>
      </c>
      <c r="K287" s="16">
        <f>G287*H287</f>
        <v>0</v>
      </c>
      <c r="L287" s="27" t="s">
        <v>922</v>
      </c>
      <c r="Z287" s="33">
        <f>IF(AQ287="5",BJ287,0)</f>
        <v>0</v>
      </c>
      <c r="AB287" s="33">
        <f>IF(AQ287="1",BH287,0)</f>
        <v>0</v>
      </c>
      <c r="AC287" s="33">
        <f>IF(AQ287="1",BI287,0)</f>
        <v>0</v>
      </c>
      <c r="AD287" s="33">
        <f>IF(AQ287="7",BH287,0)</f>
        <v>0</v>
      </c>
      <c r="AE287" s="33">
        <f>IF(AQ287="7",BI287,0)</f>
        <v>0</v>
      </c>
      <c r="AF287" s="33">
        <f>IF(AQ287="2",BH287,0)</f>
        <v>0</v>
      </c>
      <c r="AG287" s="33">
        <f>IF(AQ287="2",BI287,0)</f>
        <v>0</v>
      </c>
      <c r="AH287" s="33">
        <f>IF(AQ287="0",BJ287,0)</f>
        <v>0</v>
      </c>
      <c r="AI287" s="28"/>
      <c r="AJ287" s="16">
        <f>IF(AN287=0,K287,0)</f>
        <v>0</v>
      </c>
      <c r="AK287" s="16">
        <f>IF(AN287=15,K287,0)</f>
        <v>0</v>
      </c>
      <c r="AL287" s="16">
        <f>IF(AN287=21,K287,0)</f>
        <v>0</v>
      </c>
      <c r="AN287" s="33">
        <v>21</v>
      </c>
      <c r="AO287" s="33">
        <f>H287*0</f>
        <v>0</v>
      </c>
      <c r="AP287" s="33">
        <f>H287*(1-0)</f>
        <v>0</v>
      </c>
      <c r="AQ287" s="27" t="s">
        <v>10</v>
      </c>
      <c r="AV287" s="33">
        <f>AW287+AX287</f>
        <v>0</v>
      </c>
      <c r="AW287" s="33">
        <f>G287*AO287</f>
        <v>0</v>
      </c>
      <c r="AX287" s="33">
        <f>G287*AP287</f>
        <v>0</v>
      </c>
      <c r="AY287" s="34" t="s">
        <v>987</v>
      </c>
      <c r="AZ287" s="34" t="s">
        <v>1006</v>
      </c>
      <c r="BA287" s="28" t="s">
        <v>1007</v>
      </c>
      <c r="BC287" s="33">
        <f>AW287+AX287</f>
        <v>0</v>
      </c>
      <c r="BD287" s="33">
        <f>H287/(100-BE287)*100</f>
        <v>0</v>
      </c>
      <c r="BE287" s="33">
        <v>0</v>
      </c>
      <c r="BF287" s="33">
        <f>291</f>
        <v>291</v>
      </c>
      <c r="BH287" s="16">
        <f>G287*AO287</f>
        <v>0</v>
      </c>
      <c r="BI287" s="16">
        <f>G287*AP287</f>
        <v>0</v>
      </c>
      <c r="BJ287" s="16">
        <f>G287*H287</f>
        <v>0</v>
      </c>
    </row>
    <row r="288" spans="1:47" ht="12.75">
      <c r="A288" s="5"/>
      <c r="B288" s="13" t="s">
        <v>527</v>
      </c>
      <c r="C288" s="109" t="s">
        <v>775</v>
      </c>
      <c r="D288" s="110"/>
      <c r="E288" s="110"/>
      <c r="F288" s="5" t="s">
        <v>6</v>
      </c>
      <c r="G288" s="5" t="s">
        <v>6</v>
      </c>
      <c r="H288" s="5" t="s">
        <v>6</v>
      </c>
      <c r="I288" s="36">
        <f>SUM(I289:I289)</f>
        <v>0</v>
      </c>
      <c r="J288" s="36">
        <f>SUM(J289:J289)</f>
        <v>0</v>
      </c>
      <c r="K288" s="36">
        <f>SUM(K289:K289)</f>
        <v>0</v>
      </c>
      <c r="L288" s="28"/>
      <c r="AI288" s="28"/>
      <c r="AS288" s="36">
        <f>SUM(AJ289:AJ289)</f>
        <v>0</v>
      </c>
      <c r="AT288" s="36">
        <f>SUM(AK289:AK289)</f>
        <v>0</v>
      </c>
      <c r="AU288" s="36">
        <f>SUM(AL289:AL289)</f>
        <v>0</v>
      </c>
    </row>
    <row r="289" spans="1:62" ht="12.75">
      <c r="A289" s="4" t="s">
        <v>231</v>
      </c>
      <c r="B289" s="4" t="s">
        <v>528</v>
      </c>
      <c r="C289" s="107" t="s">
        <v>834</v>
      </c>
      <c r="D289" s="108"/>
      <c r="E289" s="108"/>
      <c r="F289" s="4" t="s">
        <v>898</v>
      </c>
      <c r="G289" s="16">
        <v>0.4945</v>
      </c>
      <c r="H289" s="16">
        <v>0</v>
      </c>
      <c r="I289" s="16">
        <f>G289*AO289</f>
        <v>0</v>
      </c>
      <c r="J289" s="16">
        <f>G289*AP289</f>
        <v>0</v>
      </c>
      <c r="K289" s="16">
        <f>G289*H289</f>
        <v>0</v>
      </c>
      <c r="L289" s="27" t="s">
        <v>922</v>
      </c>
      <c r="Z289" s="33">
        <f>IF(AQ289="5",BJ289,0)</f>
        <v>0</v>
      </c>
      <c r="AB289" s="33">
        <f>IF(AQ289="1",BH289,0)</f>
        <v>0</v>
      </c>
      <c r="AC289" s="33">
        <f>IF(AQ289="1",BI289,0)</f>
        <v>0</v>
      </c>
      <c r="AD289" s="33">
        <f>IF(AQ289="7",BH289,0)</f>
        <v>0</v>
      </c>
      <c r="AE289" s="33">
        <f>IF(AQ289="7",BI289,0)</f>
        <v>0</v>
      </c>
      <c r="AF289" s="33">
        <f>IF(AQ289="2",BH289,0)</f>
        <v>0</v>
      </c>
      <c r="AG289" s="33">
        <f>IF(AQ289="2",BI289,0)</f>
        <v>0</v>
      </c>
      <c r="AH289" s="33">
        <f>IF(AQ289="0",BJ289,0)</f>
        <v>0</v>
      </c>
      <c r="AI289" s="28"/>
      <c r="AJ289" s="16">
        <f>IF(AN289=0,K289,0)</f>
        <v>0</v>
      </c>
      <c r="AK289" s="16">
        <f>IF(AN289=15,K289,0)</f>
        <v>0</v>
      </c>
      <c r="AL289" s="16">
        <f>IF(AN289=21,K289,0)</f>
        <v>0</v>
      </c>
      <c r="AN289" s="33">
        <v>21</v>
      </c>
      <c r="AO289" s="33">
        <f>H289*0</f>
        <v>0</v>
      </c>
      <c r="AP289" s="33">
        <f>H289*(1-0)</f>
        <v>0</v>
      </c>
      <c r="AQ289" s="27" t="s">
        <v>10</v>
      </c>
      <c r="AV289" s="33">
        <f>AW289+AX289</f>
        <v>0</v>
      </c>
      <c r="AW289" s="33">
        <f>G289*AO289</f>
        <v>0</v>
      </c>
      <c r="AX289" s="33">
        <f>G289*AP289</f>
        <v>0</v>
      </c>
      <c r="AY289" s="34" t="s">
        <v>988</v>
      </c>
      <c r="AZ289" s="34" t="s">
        <v>1006</v>
      </c>
      <c r="BA289" s="28" t="s">
        <v>1007</v>
      </c>
      <c r="BC289" s="33">
        <f>AW289+AX289</f>
        <v>0</v>
      </c>
      <c r="BD289" s="33">
        <f>H289/(100-BE289)*100</f>
        <v>0</v>
      </c>
      <c r="BE289" s="33">
        <v>0</v>
      </c>
      <c r="BF289" s="33">
        <f>293</f>
        <v>293</v>
      </c>
      <c r="BH289" s="16">
        <f>G289*AO289</f>
        <v>0</v>
      </c>
      <c r="BI289" s="16">
        <f>G289*AP289</f>
        <v>0</v>
      </c>
      <c r="BJ289" s="16">
        <f>G289*H289</f>
        <v>0</v>
      </c>
    </row>
    <row r="290" spans="1:47" ht="12.75">
      <c r="A290" s="5"/>
      <c r="B290" s="13" t="s">
        <v>529</v>
      </c>
      <c r="C290" s="109" t="s">
        <v>835</v>
      </c>
      <c r="D290" s="110"/>
      <c r="E290" s="110"/>
      <c r="F290" s="5" t="s">
        <v>6</v>
      </c>
      <c r="G290" s="5" t="s">
        <v>6</v>
      </c>
      <c r="H290" s="5" t="s">
        <v>6</v>
      </c>
      <c r="I290" s="36">
        <f>SUM(I291:I318)</f>
        <v>0</v>
      </c>
      <c r="J290" s="36">
        <f>SUM(J291:J318)</f>
        <v>0</v>
      </c>
      <c r="K290" s="36">
        <f>SUM(K291:K318)</f>
        <v>0</v>
      </c>
      <c r="L290" s="28"/>
      <c r="AI290" s="28"/>
      <c r="AS290" s="36">
        <f>SUM(AJ291:AJ318)</f>
        <v>0</v>
      </c>
      <c r="AT290" s="36">
        <f>SUM(AK291:AK318)</f>
        <v>0</v>
      </c>
      <c r="AU290" s="36">
        <f>SUM(AL291:AL318)</f>
        <v>0</v>
      </c>
    </row>
    <row r="291" spans="1:62" ht="12.75">
      <c r="A291" s="4" t="s">
        <v>232</v>
      </c>
      <c r="B291" s="4" t="s">
        <v>530</v>
      </c>
      <c r="C291" s="107" t="s">
        <v>836</v>
      </c>
      <c r="D291" s="108"/>
      <c r="E291" s="108"/>
      <c r="F291" s="4" t="s">
        <v>896</v>
      </c>
      <c r="G291" s="16">
        <v>1</v>
      </c>
      <c r="H291" s="16">
        <v>0</v>
      </c>
      <c r="I291" s="16">
        <f aca="true" t="shared" si="264" ref="I291:I318">G291*AO291</f>
        <v>0</v>
      </c>
      <c r="J291" s="16">
        <f aca="true" t="shared" si="265" ref="J291:J318">G291*AP291</f>
        <v>0</v>
      </c>
      <c r="K291" s="16">
        <f aca="true" t="shared" si="266" ref="K291:K318">G291*H291</f>
        <v>0</v>
      </c>
      <c r="L291" s="27" t="s">
        <v>922</v>
      </c>
      <c r="Z291" s="33">
        <f aca="true" t="shared" si="267" ref="Z291:Z318">IF(AQ291="5",BJ291,0)</f>
        <v>0</v>
      </c>
      <c r="AB291" s="33">
        <f aca="true" t="shared" si="268" ref="AB291:AB318">IF(AQ291="1",BH291,0)</f>
        <v>0</v>
      </c>
      <c r="AC291" s="33">
        <f aca="true" t="shared" si="269" ref="AC291:AC318">IF(AQ291="1",BI291,0)</f>
        <v>0</v>
      </c>
      <c r="AD291" s="33">
        <f aca="true" t="shared" si="270" ref="AD291:AD318">IF(AQ291="7",BH291,0)</f>
        <v>0</v>
      </c>
      <c r="AE291" s="33">
        <f aca="true" t="shared" si="271" ref="AE291:AE318">IF(AQ291="7",BI291,0)</f>
        <v>0</v>
      </c>
      <c r="AF291" s="33">
        <f aca="true" t="shared" si="272" ref="AF291:AF318">IF(AQ291="2",BH291,0)</f>
        <v>0</v>
      </c>
      <c r="AG291" s="33">
        <f aca="true" t="shared" si="273" ref="AG291:AG318">IF(AQ291="2",BI291,0)</f>
        <v>0</v>
      </c>
      <c r="AH291" s="33">
        <f aca="true" t="shared" si="274" ref="AH291:AH318">IF(AQ291="0",BJ291,0)</f>
        <v>0</v>
      </c>
      <c r="AI291" s="28"/>
      <c r="AJ291" s="16">
        <f aca="true" t="shared" si="275" ref="AJ291:AJ318">IF(AN291=0,K291,0)</f>
        <v>0</v>
      </c>
      <c r="AK291" s="16">
        <f aca="true" t="shared" si="276" ref="AK291:AK318">IF(AN291=15,K291,0)</f>
        <v>0</v>
      </c>
      <c r="AL291" s="16">
        <f aca="true" t="shared" si="277" ref="AL291:AL318">IF(AN291=21,K291,0)</f>
        <v>0</v>
      </c>
      <c r="AN291" s="33">
        <v>21</v>
      </c>
      <c r="AO291" s="33">
        <f>H291*0</f>
        <v>0</v>
      </c>
      <c r="AP291" s="33">
        <f>H291*(1-0)</f>
        <v>0</v>
      </c>
      <c r="AQ291" s="27" t="s">
        <v>8</v>
      </c>
      <c r="AV291" s="33">
        <f aca="true" t="shared" si="278" ref="AV291:AV318">AW291+AX291</f>
        <v>0</v>
      </c>
      <c r="AW291" s="33">
        <f aca="true" t="shared" si="279" ref="AW291:AW318">G291*AO291</f>
        <v>0</v>
      </c>
      <c r="AX291" s="33">
        <f aca="true" t="shared" si="280" ref="AX291:AX318">G291*AP291</f>
        <v>0</v>
      </c>
      <c r="AY291" s="34" t="s">
        <v>989</v>
      </c>
      <c r="AZ291" s="34" t="s">
        <v>1006</v>
      </c>
      <c r="BA291" s="28" t="s">
        <v>1007</v>
      </c>
      <c r="BC291" s="33">
        <f aca="true" t="shared" si="281" ref="BC291:BC318">AW291+AX291</f>
        <v>0</v>
      </c>
      <c r="BD291" s="33">
        <f aca="true" t="shared" si="282" ref="BD291:BD318">H291/(100-BE291)*100</f>
        <v>0</v>
      </c>
      <c r="BE291" s="33">
        <v>0</v>
      </c>
      <c r="BF291" s="33">
        <f>295</f>
        <v>295</v>
      </c>
      <c r="BH291" s="16">
        <f aca="true" t="shared" si="283" ref="BH291:BH318">G291*AO291</f>
        <v>0</v>
      </c>
      <c r="BI291" s="16">
        <f aca="true" t="shared" si="284" ref="BI291:BI318">G291*AP291</f>
        <v>0</v>
      </c>
      <c r="BJ291" s="16">
        <f aca="true" t="shared" si="285" ref="BJ291:BJ318">G291*H291</f>
        <v>0</v>
      </c>
    </row>
    <row r="292" spans="1:62" ht="12.75">
      <c r="A292" s="4" t="s">
        <v>233</v>
      </c>
      <c r="B292" s="4" t="s">
        <v>531</v>
      </c>
      <c r="C292" s="107" t="s">
        <v>837</v>
      </c>
      <c r="D292" s="108"/>
      <c r="E292" s="108"/>
      <c r="F292" s="4" t="s">
        <v>896</v>
      </c>
      <c r="G292" s="16">
        <v>15</v>
      </c>
      <c r="H292" s="16">
        <v>0</v>
      </c>
      <c r="I292" s="16">
        <f t="shared" si="264"/>
        <v>0</v>
      </c>
      <c r="J292" s="16">
        <f t="shared" si="265"/>
        <v>0</v>
      </c>
      <c r="K292" s="16">
        <f t="shared" si="266"/>
        <v>0</v>
      </c>
      <c r="L292" s="27" t="s">
        <v>922</v>
      </c>
      <c r="Z292" s="33">
        <f t="shared" si="267"/>
        <v>0</v>
      </c>
      <c r="AB292" s="33">
        <f t="shared" si="268"/>
        <v>0</v>
      </c>
      <c r="AC292" s="33">
        <f t="shared" si="269"/>
        <v>0</v>
      </c>
      <c r="AD292" s="33">
        <f t="shared" si="270"/>
        <v>0</v>
      </c>
      <c r="AE292" s="33">
        <f t="shared" si="271"/>
        <v>0</v>
      </c>
      <c r="AF292" s="33">
        <f t="shared" si="272"/>
        <v>0</v>
      </c>
      <c r="AG292" s="33">
        <f t="shared" si="273"/>
        <v>0</v>
      </c>
      <c r="AH292" s="33">
        <f t="shared" si="274"/>
        <v>0</v>
      </c>
      <c r="AI292" s="28"/>
      <c r="AJ292" s="16">
        <f t="shared" si="275"/>
        <v>0</v>
      </c>
      <c r="AK292" s="16">
        <f t="shared" si="276"/>
        <v>0</v>
      </c>
      <c r="AL292" s="16">
        <f t="shared" si="277"/>
        <v>0</v>
      </c>
      <c r="AN292" s="33">
        <v>21</v>
      </c>
      <c r="AO292" s="33">
        <f>H292*0.863060989643268</f>
        <v>0</v>
      </c>
      <c r="AP292" s="33">
        <f>H292*(1-0.863060989643268)</f>
        <v>0</v>
      </c>
      <c r="AQ292" s="27" t="s">
        <v>8</v>
      </c>
      <c r="AV292" s="33">
        <f t="shared" si="278"/>
        <v>0</v>
      </c>
      <c r="AW292" s="33">
        <f t="shared" si="279"/>
        <v>0</v>
      </c>
      <c r="AX292" s="33">
        <f t="shared" si="280"/>
        <v>0</v>
      </c>
      <c r="AY292" s="34" t="s">
        <v>989</v>
      </c>
      <c r="AZ292" s="34" t="s">
        <v>1006</v>
      </c>
      <c r="BA292" s="28" t="s">
        <v>1007</v>
      </c>
      <c r="BC292" s="33">
        <f t="shared" si="281"/>
        <v>0</v>
      </c>
      <c r="BD292" s="33">
        <f t="shared" si="282"/>
        <v>0</v>
      </c>
      <c r="BE292" s="33">
        <v>0</v>
      </c>
      <c r="BF292" s="33">
        <f>296</f>
        <v>296</v>
      </c>
      <c r="BH292" s="16">
        <f t="shared" si="283"/>
        <v>0</v>
      </c>
      <c r="BI292" s="16">
        <f t="shared" si="284"/>
        <v>0</v>
      </c>
      <c r="BJ292" s="16">
        <f t="shared" si="285"/>
        <v>0</v>
      </c>
    </row>
    <row r="293" spans="1:62" ht="12.75">
      <c r="A293" s="4" t="s">
        <v>234</v>
      </c>
      <c r="B293" s="4" t="s">
        <v>531</v>
      </c>
      <c r="C293" s="107" t="s">
        <v>838</v>
      </c>
      <c r="D293" s="108"/>
      <c r="E293" s="108"/>
      <c r="F293" s="4" t="s">
        <v>896</v>
      </c>
      <c r="G293" s="16">
        <v>6</v>
      </c>
      <c r="H293" s="16">
        <v>0</v>
      </c>
      <c r="I293" s="16">
        <f t="shared" si="264"/>
        <v>0</v>
      </c>
      <c r="J293" s="16">
        <f t="shared" si="265"/>
        <v>0</v>
      </c>
      <c r="K293" s="16">
        <f t="shared" si="266"/>
        <v>0</v>
      </c>
      <c r="L293" s="27" t="s">
        <v>922</v>
      </c>
      <c r="Z293" s="33">
        <f t="shared" si="267"/>
        <v>0</v>
      </c>
      <c r="AB293" s="33">
        <f t="shared" si="268"/>
        <v>0</v>
      </c>
      <c r="AC293" s="33">
        <f t="shared" si="269"/>
        <v>0</v>
      </c>
      <c r="AD293" s="33">
        <f t="shared" si="270"/>
        <v>0</v>
      </c>
      <c r="AE293" s="33">
        <f t="shared" si="271"/>
        <v>0</v>
      </c>
      <c r="AF293" s="33">
        <f t="shared" si="272"/>
        <v>0</v>
      </c>
      <c r="AG293" s="33">
        <f t="shared" si="273"/>
        <v>0</v>
      </c>
      <c r="AH293" s="33">
        <f t="shared" si="274"/>
        <v>0</v>
      </c>
      <c r="AI293" s="28"/>
      <c r="AJ293" s="16">
        <f t="shared" si="275"/>
        <v>0</v>
      </c>
      <c r="AK293" s="16">
        <f t="shared" si="276"/>
        <v>0</v>
      </c>
      <c r="AL293" s="16">
        <f t="shared" si="277"/>
        <v>0</v>
      </c>
      <c r="AN293" s="33">
        <v>21</v>
      </c>
      <c r="AO293" s="33">
        <f>H293*0.794551645856981</f>
        <v>0</v>
      </c>
      <c r="AP293" s="33">
        <f>H293*(1-0.794551645856981)</f>
        <v>0</v>
      </c>
      <c r="AQ293" s="27" t="s">
        <v>8</v>
      </c>
      <c r="AV293" s="33">
        <f t="shared" si="278"/>
        <v>0</v>
      </c>
      <c r="AW293" s="33">
        <f t="shared" si="279"/>
        <v>0</v>
      </c>
      <c r="AX293" s="33">
        <f t="shared" si="280"/>
        <v>0</v>
      </c>
      <c r="AY293" s="34" t="s">
        <v>989</v>
      </c>
      <c r="AZ293" s="34" t="s">
        <v>1006</v>
      </c>
      <c r="BA293" s="28" t="s">
        <v>1007</v>
      </c>
      <c r="BC293" s="33">
        <f t="shared" si="281"/>
        <v>0</v>
      </c>
      <c r="BD293" s="33">
        <f t="shared" si="282"/>
        <v>0</v>
      </c>
      <c r="BE293" s="33">
        <v>0</v>
      </c>
      <c r="BF293" s="33">
        <f>297</f>
        <v>297</v>
      </c>
      <c r="BH293" s="16">
        <f t="shared" si="283"/>
        <v>0</v>
      </c>
      <c r="BI293" s="16">
        <f t="shared" si="284"/>
        <v>0</v>
      </c>
      <c r="BJ293" s="16">
        <f t="shared" si="285"/>
        <v>0</v>
      </c>
    </row>
    <row r="294" spans="1:62" ht="12.75">
      <c r="A294" s="4" t="s">
        <v>235</v>
      </c>
      <c r="B294" s="4" t="s">
        <v>531</v>
      </c>
      <c r="C294" s="107" t="s">
        <v>839</v>
      </c>
      <c r="D294" s="108"/>
      <c r="E294" s="108"/>
      <c r="F294" s="4" t="s">
        <v>896</v>
      </c>
      <c r="G294" s="16">
        <v>2</v>
      </c>
      <c r="H294" s="16">
        <v>0</v>
      </c>
      <c r="I294" s="16">
        <f t="shared" si="264"/>
        <v>0</v>
      </c>
      <c r="J294" s="16">
        <f t="shared" si="265"/>
        <v>0</v>
      </c>
      <c r="K294" s="16">
        <f t="shared" si="266"/>
        <v>0</v>
      </c>
      <c r="L294" s="27" t="s">
        <v>922</v>
      </c>
      <c r="Z294" s="33">
        <f t="shared" si="267"/>
        <v>0</v>
      </c>
      <c r="AB294" s="33">
        <f t="shared" si="268"/>
        <v>0</v>
      </c>
      <c r="AC294" s="33">
        <f t="shared" si="269"/>
        <v>0</v>
      </c>
      <c r="AD294" s="33">
        <f t="shared" si="270"/>
        <v>0</v>
      </c>
      <c r="AE294" s="33">
        <f t="shared" si="271"/>
        <v>0</v>
      </c>
      <c r="AF294" s="33">
        <f t="shared" si="272"/>
        <v>0</v>
      </c>
      <c r="AG294" s="33">
        <f t="shared" si="273"/>
        <v>0</v>
      </c>
      <c r="AH294" s="33">
        <f t="shared" si="274"/>
        <v>0</v>
      </c>
      <c r="AI294" s="28"/>
      <c r="AJ294" s="16">
        <f t="shared" si="275"/>
        <v>0</v>
      </c>
      <c r="AK294" s="16">
        <f t="shared" si="276"/>
        <v>0</v>
      </c>
      <c r="AL294" s="16">
        <f t="shared" si="277"/>
        <v>0</v>
      </c>
      <c r="AN294" s="33">
        <v>21</v>
      </c>
      <c r="AO294" s="33">
        <f>H294*0.697026022304833</f>
        <v>0</v>
      </c>
      <c r="AP294" s="33">
        <f>H294*(1-0.697026022304833)</f>
        <v>0</v>
      </c>
      <c r="AQ294" s="27" t="s">
        <v>8</v>
      </c>
      <c r="AV294" s="33">
        <f t="shared" si="278"/>
        <v>0</v>
      </c>
      <c r="AW294" s="33">
        <f t="shared" si="279"/>
        <v>0</v>
      </c>
      <c r="AX294" s="33">
        <f t="shared" si="280"/>
        <v>0</v>
      </c>
      <c r="AY294" s="34" t="s">
        <v>989</v>
      </c>
      <c r="AZ294" s="34" t="s">
        <v>1006</v>
      </c>
      <c r="BA294" s="28" t="s">
        <v>1007</v>
      </c>
      <c r="BC294" s="33">
        <f t="shared" si="281"/>
        <v>0</v>
      </c>
      <c r="BD294" s="33">
        <f t="shared" si="282"/>
        <v>0</v>
      </c>
      <c r="BE294" s="33">
        <v>0</v>
      </c>
      <c r="BF294" s="33">
        <f>298</f>
        <v>298</v>
      </c>
      <c r="BH294" s="16">
        <f t="shared" si="283"/>
        <v>0</v>
      </c>
      <c r="BI294" s="16">
        <f t="shared" si="284"/>
        <v>0</v>
      </c>
      <c r="BJ294" s="16">
        <f t="shared" si="285"/>
        <v>0</v>
      </c>
    </row>
    <row r="295" spans="1:62" ht="12.75">
      <c r="A295" s="4" t="s">
        <v>236</v>
      </c>
      <c r="B295" s="4" t="s">
        <v>532</v>
      </c>
      <c r="C295" s="107" t="s">
        <v>840</v>
      </c>
      <c r="D295" s="108"/>
      <c r="E295" s="108"/>
      <c r="F295" s="4" t="s">
        <v>901</v>
      </c>
      <c r="G295" s="16">
        <v>1</v>
      </c>
      <c r="H295" s="16">
        <v>0</v>
      </c>
      <c r="I295" s="16">
        <f t="shared" si="264"/>
        <v>0</v>
      </c>
      <c r="J295" s="16">
        <f t="shared" si="265"/>
        <v>0</v>
      </c>
      <c r="K295" s="16">
        <f t="shared" si="266"/>
        <v>0</v>
      </c>
      <c r="L295" s="27" t="s">
        <v>922</v>
      </c>
      <c r="Z295" s="33">
        <f t="shared" si="267"/>
        <v>0</v>
      </c>
      <c r="AB295" s="33">
        <f t="shared" si="268"/>
        <v>0</v>
      </c>
      <c r="AC295" s="33">
        <f t="shared" si="269"/>
        <v>0</v>
      </c>
      <c r="AD295" s="33">
        <f t="shared" si="270"/>
        <v>0</v>
      </c>
      <c r="AE295" s="33">
        <f t="shared" si="271"/>
        <v>0</v>
      </c>
      <c r="AF295" s="33">
        <f t="shared" si="272"/>
        <v>0</v>
      </c>
      <c r="AG295" s="33">
        <f t="shared" si="273"/>
        <v>0</v>
      </c>
      <c r="AH295" s="33">
        <f t="shared" si="274"/>
        <v>0</v>
      </c>
      <c r="AI295" s="28"/>
      <c r="AJ295" s="16">
        <f t="shared" si="275"/>
        <v>0</v>
      </c>
      <c r="AK295" s="16">
        <f t="shared" si="276"/>
        <v>0</v>
      </c>
      <c r="AL295" s="16">
        <f t="shared" si="277"/>
        <v>0</v>
      </c>
      <c r="AN295" s="33">
        <v>21</v>
      </c>
      <c r="AO295" s="33">
        <f>H295*0.344827586206897</f>
        <v>0</v>
      </c>
      <c r="AP295" s="33">
        <f>H295*(1-0.344827586206897)</f>
        <v>0</v>
      </c>
      <c r="AQ295" s="27" t="s">
        <v>8</v>
      </c>
      <c r="AV295" s="33">
        <f t="shared" si="278"/>
        <v>0</v>
      </c>
      <c r="AW295" s="33">
        <f t="shared" si="279"/>
        <v>0</v>
      </c>
      <c r="AX295" s="33">
        <f t="shared" si="280"/>
        <v>0</v>
      </c>
      <c r="AY295" s="34" t="s">
        <v>989</v>
      </c>
      <c r="AZ295" s="34" t="s">
        <v>1006</v>
      </c>
      <c r="BA295" s="28" t="s">
        <v>1007</v>
      </c>
      <c r="BC295" s="33">
        <f t="shared" si="281"/>
        <v>0</v>
      </c>
      <c r="BD295" s="33">
        <f t="shared" si="282"/>
        <v>0</v>
      </c>
      <c r="BE295" s="33">
        <v>0</v>
      </c>
      <c r="BF295" s="33">
        <f>299</f>
        <v>299</v>
      </c>
      <c r="BH295" s="16">
        <f t="shared" si="283"/>
        <v>0</v>
      </c>
      <c r="BI295" s="16">
        <f t="shared" si="284"/>
        <v>0</v>
      </c>
      <c r="BJ295" s="16">
        <f t="shared" si="285"/>
        <v>0</v>
      </c>
    </row>
    <row r="296" spans="1:62" ht="12.75">
      <c r="A296" s="6" t="s">
        <v>237</v>
      </c>
      <c r="B296" s="6" t="s">
        <v>533</v>
      </c>
      <c r="C296" s="111" t="s">
        <v>841</v>
      </c>
      <c r="D296" s="112"/>
      <c r="E296" s="112"/>
      <c r="F296" s="6" t="s">
        <v>896</v>
      </c>
      <c r="G296" s="17">
        <v>3</v>
      </c>
      <c r="H296" s="17">
        <v>0</v>
      </c>
      <c r="I296" s="17">
        <f t="shared" si="264"/>
        <v>0</v>
      </c>
      <c r="J296" s="17">
        <f t="shared" si="265"/>
        <v>0</v>
      </c>
      <c r="K296" s="17">
        <f t="shared" si="266"/>
        <v>0</v>
      </c>
      <c r="L296" s="29" t="s">
        <v>924</v>
      </c>
      <c r="Z296" s="33">
        <f t="shared" si="267"/>
        <v>0</v>
      </c>
      <c r="AB296" s="33">
        <f t="shared" si="268"/>
        <v>0</v>
      </c>
      <c r="AC296" s="33">
        <f t="shared" si="269"/>
        <v>0</v>
      </c>
      <c r="AD296" s="33">
        <f t="shared" si="270"/>
        <v>0</v>
      </c>
      <c r="AE296" s="33">
        <f t="shared" si="271"/>
        <v>0</v>
      </c>
      <c r="AF296" s="33">
        <f t="shared" si="272"/>
        <v>0</v>
      </c>
      <c r="AG296" s="33">
        <f t="shared" si="273"/>
        <v>0</v>
      </c>
      <c r="AH296" s="33">
        <f t="shared" si="274"/>
        <v>0</v>
      </c>
      <c r="AI296" s="28"/>
      <c r="AJ296" s="17">
        <f t="shared" si="275"/>
        <v>0</v>
      </c>
      <c r="AK296" s="17">
        <f t="shared" si="276"/>
        <v>0</v>
      </c>
      <c r="AL296" s="17">
        <f t="shared" si="277"/>
        <v>0</v>
      </c>
      <c r="AN296" s="33">
        <v>21</v>
      </c>
      <c r="AO296" s="33">
        <f>H296*1</f>
        <v>0</v>
      </c>
      <c r="AP296" s="33">
        <f>H296*(1-1)</f>
        <v>0</v>
      </c>
      <c r="AQ296" s="29" t="s">
        <v>7</v>
      </c>
      <c r="AV296" s="33">
        <f t="shared" si="278"/>
        <v>0</v>
      </c>
      <c r="AW296" s="33">
        <f t="shared" si="279"/>
        <v>0</v>
      </c>
      <c r="AX296" s="33">
        <f t="shared" si="280"/>
        <v>0</v>
      </c>
      <c r="AY296" s="34" t="s">
        <v>989</v>
      </c>
      <c r="AZ296" s="34" t="s">
        <v>1006</v>
      </c>
      <c r="BA296" s="28" t="s">
        <v>1007</v>
      </c>
      <c r="BC296" s="33">
        <f t="shared" si="281"/>
        <v>0</v>
      </c>
      <c r="BD296" s="33">
        <f t="shared" si="282"/>
        <v>0</v>
      </c>
      <c r="BE296" s="33">
        <v>0</v>
      </c>
      <c r="BF296" s="33">
        <f>300</f>
        <v>300</v>
      </c>
      <c r="BH296" s="17">
        <f t="shared" si="283"/>
        <v>0</v>
      </c>
      <c r="BI296" s="17">
        <f t="shared" si="284"/>
        <v>0</v>
      </c>
      <c r="BJ296" s="17">
        <f t="shared" si="285"/>
        <v>0</v>
      </c>
    </row>
    <row r="297" spans="1:62" ht="12.75">
      <c r="A297" s="6" t="s">
        <v>238</v>
      </c>
      <c r="B297" s="6" t="s">
        <v>534</v>
      </c>
      <c r="C297" s="111" t="s">
        <v>842</v>
      </c>
      <c r="D297" s="112"/>
      <c r="E297" s="112"/>
      <c r="F297" s="6" t="s">
        <v>896</v>
      </c>
      <c r="G297" s="17">
        <v>3</v>
      </c>
      <c r="H297" s="17">
        <v>0</v>
      </c>
      <c r="I297" s="17">
        <f t="shared" si="264"/>
        <v>0</v>
      </c>
      <c r="J297" s="17">
        <f t="shared" si="265"/>
        <v>0</v>
      </c>
      <c r="K297" s="17">
        <f t="shared" si="266"/>
        <v>0</v>
      </c>
      <c r="L297" s="29" t="s">
        <v>924</v>
      </c>
      <c r="Z297" s="33">
        <f t="shared" si="267"/>
        <v>0</v>
      </c>
      <c r="AB297" s="33">
        <f t="shared" si="268"/>
        <v>0</v>
      </c>
      <c r="AC297" s="33">
        <f t="shared" si="269"/>
        <v>0</v>
      </c>
      <c r="AD297" s="33">
        <f t="shared" si="270"/>
        <v>0</v>
      </c>
      <c r="AE297" s="33">
        <f t="shared" si="271"/>
        <v>0</v>
      </c>
      <c r="AF297" s="33">
        <f t="shared" si="272"/>
        <v>0</v>
      </c>
      <c r="AG297" s="33">
        <f t="shared" si="273"/>
        <v>0</v>
      </c>
      <c r="AH297" s="33">
        <f t="shared" si="274"/>
        <v>0</v>
      </c>
      <c r="AI297" s="28"/>
      <c r="AJ297" s="17">
        <f t="shared" si="275"/>
        <v>0</v>
      </c>
      <c r="AK297" s="17">
        <f t="shared" si="276"/>
        <v>0</v>
      </c>
      <c r="AL297" s="17">
        <f t="shared" si="277"/>
        <v>0</v>
      </c>
      <c r="AN297" s="33">
        <v>21</v>
      </c>
      <c r="AO297" s="33">
        <f>H297*1</f>
        <v>0</v>
      </c>
      <c r="AP297" s="33">
        <f>H297*(1-1)</f>
        <v>0</v>
      </c>
      <c r="AQ297" s="29" t="s">
        <v>7</v>
      </c>
      <c r="AV297" s="33">
        <f t="shared" si="278"/>
        <v>0</v>
      </c>
      <c r="AW297" s="33">
        <f t="shared" si="279"/>
        <v>0</v>
      </c>
      <c r="AX297" s="33">
        <f t="shared" si="280"/>
        <v>0</v>
      </c>
      <c r="AY297" s="34" t="s">
        <v>989</v>
      </c>
      <c r="AZ297" s="34" t="s">
        <v>1006</v>
      </c>
      <c r="BA297" s="28" t="s">
        <v>1007</v>
      </c>
      <c r="BC297" s="33">
        <f t="shared" si="281"/>
        <v>0</v>
      </c>
      <c r="BD297" s="33">
        <f t="shared" si="282"/>
        <v>0</v>
      </c>
      <c r="BE297" s="33">
        <v>0</v>
      </c>
      <c r="BF297" s="33">
        <f>301</f>
        <v>301</v>
      </c>
      <c r="BH297" s="17">
        <f t="shared" si="283"/>
        <v>0</v>
      </c>
      <c r="BI297" s="17">
        <f t="shared" si="284"/>
        <v>0</v>
      </c>
      <c r="BJ297" s="17">
        <f t="shared" si="285"/>
        <v>0</v>
      </c>
    </row>
    <row r="298" spans="1:62" ht="12.75">
      <c r="A298" s="4" t="s">
        <v>239</v>
      </c>
      <c r="B298" s="4" t="s">
        <v>530</v>
      </c>
      <c r="C298" s="107" t="s">
        <v>843</v>
      </c>
      <c r="D298" s="108"/>
      <c r="E298" s="108"/>
      <c r="F298" s="4" t="s">
        <v>896</v>
      </c>
      <c r="G298" s="16">
        <v>1</v>
      </c>
      <c r="H298" s="16">
        <v>0</v>
      </c>
      <c r="I298" s="16">
        <f t="shared" si="264"/>
        <v>0</v>
      </c>
      <c r="J298" s="16">
        <f t="shared" si="265"/>
        <v>0</v>
      </c>
      <c r="K298" s="16">
        <f t="shared" si="266"/>
        <v>0</v>
      </c>
      <c r="L298" s="27" t="s">
        <v>922</v>
      </c>
      <c r="Z298" s="33">
        <f t="shared" si="267"/>
        <v>0</v>
      </c>
      <c r="AB298" s="33">
        <f t="shared" si="268"/>
        <v>0</v>
      </c>
      <c r="AC298" s="33">
        <f t="shared" si="269"/>
        <v>0</v>
      </c>
      <c r="AD298" s="33">
        <f t="shared" si="270"/>
        <v>0</v>
      </c>
      <c r="AE298" s="33">
        <f t="shared" si="271"/>
        <v>0</v>
      </c>
      <c r="AF298" s="33">
        <f t="shared" si="272"/>
        <v>0</v>
      </c>
      <c r="AG298" s="33">
        <f t="shared" si="273"/>
        <v>0</v>
      </c>
      <c r="AH298" s="33">
        <f t="shared" si="274"/>
        <v>0</v>
      </c>
      <c r="AI298" s="28"/>
      <c r="AJ298" s="16">
        <f t="shared" si="275"/>
        <v>0</v>
      </c>
      <c r="AK298" s="16">
        <f t="shared" si="276"/>
        <v>0</v>
      </c>
      <c r="AL298" s="16">
        <f t="shared" si="277"/>
        <v>0</v>
      </c>
      <c r="AN298" s="33">
        <v>21</v>
      </c>
      <c r="AO298" s="33">
        <f>H298*0.857632442748746</f>
        <v>0</v>
      </c>
      <c r="AP298" s="33">
        <f>H298*(1-0.857632442748746)</f>
        <v>0</v>
      </c>
      <c r="AQ298" s="27" t="s">
        <v>8</v>
      </c>
      <c r="AV298" s="33">
        <f t="shared" si="278"/>
        <v>0</v>
      </c>
      <c r="AW298" s="33">
        <f t="shared" si="279"/>
        <v>0</v>
      </c>
      <c r="AX298" s="33">
        <f t="shared" si="280"/>
        <v>0</v>
      </c>
      <c r="AY298" s="34" t="s">
        <v>989</v>
      </c>
      <c r="AZ298" s="34" t="s">
        <v>1006</v>
      </c>
      <c r="BA298" s="28" t="s">
        <v>1007</v>
      </c>
      <c r="BC298" s="33">
        <f t="shared" si="281"/>
        <v>0</v>
      </c>
      <c r="BD298" s="33">
        <f t="shared" si="282"/>
        <v>0</v>
      </c>
      <c r="BE298" s="33">
        <v>0</v>
      </c>
      <c r="BF298" s="33">
        <f>302</f>
        <v>302</v>
      </c>
      <c r="BH298" s="16">
        <f t="shared" si="283"/>
        <v>0</v>
      </c>
      <c r="BI298" s="16">
        <f t="shared" si="284"/>
        <v>0</v>
      </c>
      <c r="BJ298" s="16">
        <f t="shared" si="285"/>
        <v>0</v>
      </c>
    </row>
    <row r="299" spans="1:62" ht="12.75">
      <c r="A299" s="4" t="s">
        <v>240</v>
      </c>
      <c r="B299" s="4" t="s">
        <v>535</v>
      </c>
      <c r="C299" s="107" t="s">
        <v>844</v>
      </c>
      <c r="D299" s="108"/>
      <c r="E299" s="108"/>
      <c r="F299" s="4" t="s">
        <v>896</v>
      </c>
      <c r="G299" s="16">
        <v>5</v>
      </c>
      <c r="H299" s="16">
        <v>0</v>
      </c>
      <c r="I299" s="16">
        <f t="shared" si="264"/>
        <v>0</v>
      </c>
      <c r="J299" s="16">
        <f t="shared" si="265"/>
        <v>0</v>
      </c>
      <c r="K299" s="16">
        <f t="shared" si="266"/>
        <v>0</v>
      </c>
      <c r="L299" s="27" t="s">
        <v>922</v>
      </c>
      <c r="Z299" s="33">
        <f t="shared" si="267"/>
        <v>0</v>
      </c>
      <c r="AB299" s="33">
        <f t="shared" si="268"/>
        <v>0</v>
      </c>
      <c r="AC299" s="33">
        <f t="shared" si="269"/>
        <v>0</v>
      </c>
      <c r="AD299" s="33">
        <f t="shared" si="270"/>
        <v>0</v>
      </c>
      <c r="AE299" s="33">
        <f t="shared" si="271"/>
        <v>0</v>
      </c>
      <c r="AF299" s="33">
        <f t="shared" si="272"/>
        <v>0</v>
      </c>
      <c r="AG299" s="33">
        <f t="shared" si="273"/>
        <v>0</v>
      </c>
      <c r="AH299" s="33">
        <f t="shared" si="274"/>
        <v>0</v>
      </c>
      <c r="AI299" s="28"/>
      <c r="AJ299" s="16">
        <f t="shared" si="275"/>
        <v>0</v>
      </c>
      <c r="AK299" s="16">
        <f t="shared" si="276"/>
        <v>0</v>
      </c>
      <c r="AL299" s="16">
        <f t="shared" si="277"/>
        <v>0</v>
      </c>
      <c r="AN299" s="33">
        <v>21</v>
      </c>
      <c r="AO299" s="33">
        <f>H299*0.412944006792773</f>
        <v>0</v>
      </c>
      <c r="AP299" s="33">
        <f>H299*(1-0.412944006792773)</f>
        <v>0</v>
      </c>
      <c r="AQ299" s="27" t="s">
        <v>8</v>
      </c>
      <c r="AV299" s="33">
        <f t="shared" si="278"/>
        <v>0</v>
      </c>
      <c r="AW299" s="33">
        <f t="shared" si="279"/>
        <v>0</v>
      </c>
      <c r="AX299" s="33">
        <f t="shared" si="280"/>
        <v>0</v>
      </c>
      <c r="AY299" s="34" t="s">
        <v>989</v>
      </c>
      <c r="AZ299" s="34" t="s">
        <v>1006</v>
      </c>
      <c r="BA299" s="28" t="s">
        <v>1007</v>
      </c>
      <c r="BC299" s="33">
        <f t="shared" si="281"/>
        <v>0</v>
      </c>
      <c r="BD299" s="33">
        <f t="shared" si="282"/>
        <v>0</v>
      </c>
      <c r="BE299" s="33">
        <v>0</v>
      </c>
      <c r="BF299" s="33">
        <f>303</f>
        <v>303</v>
      </c>
      <c r="BH299" s="16">
        <f t="shared" si="283"/>
        <v>0</v>
      </c>
      <c r="BI299" s="16">
        <f t="shared" si="284"/>
        <v>0</v>
      </c>
      <c r="BJ299" s="16">
        <f t="shared" si="285"/>
        <v>0</v>
      </c>
    </row>
    <row r="300" spans="1:62" ht="12.75">
      <c r="A300" s="4" t="s">
        <v>241</v>
      </c>
      <c r="B300" s="4" t="s">
        <v>536</v>
      </c>
      <c r="C300" s="107" t="s">
        <v>845</v>
      </c>
      <c r="D300" s="108"/>
      <c r="E300" s="108"/>
      <c r="F300" s="4" t="s">
        <v>896</v>
      </c>
      <c r="G300" s="16">
        <v>11</v>
      </c>
      <c r="H300" s="16">
        <v>0</v>
      </c>
      <c r="I300" s="16">
        <f t="shared" si="264"/>
        <v>0</v>
      </c>
      <c r="J300" s="16">
        <f t="shared" si="265"/>
        <v>0</v>
      </c>
      <c r="K300" s="16">
        <f t="shared" si="266"/>
        <v>0</v>
      </c>
      <c r="L300" s="27" t="s">
        <v>922</v>
      </c>
      <c r="Z300" s="33">
        <f t="shared" si="267"/>
        <v>0</v>
      </c>
      <c r="AB300" s="33">
        <f t="shared" si="268"/>
        <v>0</v>
      </c>
      <c r="AC300" s="33">
        <f t="shared" si="269"/>
        <v>0</v>
      </c>
      <c r="AD300" s="33">
        <f t="shared" si="270"/>
        <v>0</v>
      </c>
      <c r="AE300" s="33">
        <f t="shared" si="271"/>
        <v>0</v>
      </c>
      <c r="AF300" s="33">
        <f t="shared" si="272"/>
        <v>0</v>
      </c>
      <c r="AG300" s="33">
        <f t="shared" si="273"/>
        <v>0</v>
      </c>
      <c r="AH300" s="33">
        <f t="shared" si="274"/>
        <v>0</v>
      </c>
      <c r="AI300" s="28"/>
      <c r="AJ300" s="16">
        <f t="shared" si="275"/>
        <v>0</v>
      </c>
      <c r="AK300" s="16">
        <f t="shared" si="276"/>
        <v>0</v>
      </c>
      <c r="AL300" s="16">
        <f t="shared" si="277"/>
        <v>0</v>
      </c>
      <c r="AN300" s="33">
        <v>21</v>
      </c>
      <c r="AO300" s="33">
        <f>H300*0</f>
        <v>0</v>
      </c>
      <c r="AP300" s="33">
        <f>H300*(1-0)</f>
        <v>0</v>
      </c>
      <c r="AQ300" s="27" t="s">
        <v>8</v>
      </c>
      <c r="AV300" s="33">
        <f t="shared" si="278"/>
        <v>0</v>
      </c>
      <c r="AW300" s="33">
        <f t="shared" si="279"/>
        <v>0</v>
      </c>
      <c r="AX300" s="33">
        <f t="shared" si="280"/>
        <v>0</v>
      </c>
      <c r="AY300" s="34" t="s">
        <v>989</v>
      </c>
      <c r="AZ300" s="34" t="s">
        <v>1006</v>
      </c>
      <c r="BA300" s="28" t="s">
        <v>1007</v>
      </c>
      <c r="BC300" s="33">
        <f t="shared" si="281"/>
        <v>0</v>
      </c>
      <c r="BD300" s="33">
        <f t="shared" si="282"/>
        <v>0</v>
      </c>
      <c r="BE300" s="33">
        <v>0</v>
      </c>
      <c r="BF300" s="33">
        <f>304</f>
        <v>304</v>
      </c>
      <c r="BH300" s="16">
        <f t="shared" si="283"/>
        <v>0</v>
      </c>
      <c r="BI300" s="16">
        <f t="shared" si="284"/>
        <v>0</v>
      </c>
      <c r="BJ300" s="16">
        <f t="shared" si="285"/>
        <v>0</v>
      </c>
    </row>
    <row r="301" spans="1:62" ht="12.75">
      <c r="A301" s="4" t="s">
        <v>242</v>
      </c>
      <c r="B301" s="4" t="s">
        <v>537</v>
      </c>
      <c r="C301" s="107" t="s">
        <v>846</v>
      </c>
      <c r="D301" s="108"/>
      <c r="E301" s="108"/>
      <c r="F301" s="4" t="s">
        <v>896</v>
      </c>
      <c r="G301" s="16">
        <v>5</v>
      </c>
      <c r="H301" s="16">
        <v>0</v>
      </c>
      <c r="I301" s="16">
        <f t="shared" si="264"/>
        <v>0</v>
      </c>
      <c r="J301" s="16">
        <f t="shared" si="265"/>
        <v>0</v>
      </c>
      <c r="K301" s="16">
        <f t="shared" si="266"/>
        <v>0</v>
      </c>
      <c r="L301" s="27" t="s">
        <v>922</v>
      </c>
      <c r="Z301" s="33">
        <f t="shared" si="267"/>
        <v>0</v>
      </c>
      <c r="AB301" s="33">
        <f t="shared" si="268"/>
        <v>0</v>
      </c>
      <c r="AC301" s="33">
        <f t="shared" si="269"/>
        <v>0</v>
      </c>
      <c r="AD301" s="33">
        <f t="shared" si="270"/>
        <v>0</v>
      </c>
      <c r="AE301" s="33">
        <f t="shared" si="271"/>
        <v>0</v>
      </c>
      <c r="AF301" s="33">
        <f t="shared" si="272"/>
        <v>0</v>
      </c>
      <c r="AG301" s="33">
        <f t="shared" si="273"/>
        <v>0</v>
      </c>
      <c r="AH301" s="33">
        <f t="shared" si="274"/>
        <v>0</v>
      </c>
      <c r="AI301" s="28"/>
      <c r="AJ301" s="16">
        <f t="shared" si="275"/>
        <v>0</v>
      </c>
      <c r="AK301" s="16">
        <f t="shared" si="276"/>
        <v>0</v>
      </c>
      <c r="AL301" s="16">
        <f t="shared" si="277"/>
        <v>0</v>
      </c>
      <c r="AN301" s="33">
        <v>21</v>
      </c>
      <c r="AO301" s="33">
        <f>H301*0</f>
        <v>0</v>
      </c>
      <c r="AP301" s="33">
        <f>H301*(1-0)</f>
        <v>0</v>
      </c>
      <c r="AQ301" s="27" t="s">
        <v>8</v>
      </c>
      <c r="AV301" s="33">
        <f t="shared" si="278"/>
        <v>0</v>
      </c>
      <c r="AW301" s="33">
        <f t="shared" si="279"/>
        <v>0</v>
      </c>
      <c r="AX301" s="33">
        <f t="shared" si="280"/>
        <v>0</v>
      </c>
      <c r="AY301" s="34" t="s">
        <v>989</v>
      </c>
      <c r="AZ301" s="34" t="s">
        <v>1006</v>
      </c>
      <c r="BA301" s="28" t="s">
        <v>1007</v>
      </c>
      <c r="BC301" s="33">
        <f t="shared" si="281"/>
        <v>0</v>
      </c>
      <c r="BD301" s="33">
        <f t="shared" si="282"/>
        <v>0</v>
      </c>
      <c r="BE301" s="33">
        <v>0</v>
      </c>
      <c r="BF301" s="33">
        <f>305</f>
        <v>305</v>
      </c>
      <c r="BH301" s="16">
        <f t="shared" si="283"/>
        <v>0</v>
      </c>
      <c r="BI301" s="16">
        <f t="shared" si="284"/>
        <v>0</v>
      </c>
      <c r="BJ301" s="16">
        <f t="shared" si="285"/>
        <v>0</v>
      </c>
    </row>
    <row r="302" spans="1:62" ht="12.75">
      <c r="A302" s="4" t="s">
        <v>243</v>
      </c>
      <c r="B302" s="4" t="s">
        <v>538</v>
      </c>
      <c r="C302" s="107" t="s">
        <v>847</v>
      </c>
      <c r="D302" s="108"/>
      <c r="E302" s="108"/>
      <c r="F302" s="4" t="s">
        <v>896</v>
      </c>
      <c r="G302" s="16">
        <v>4</v>
      </c>
      <c r="H302" s="16">
        <v>0</v>
      </c>
      <c r="I302" s="16">
        <f t="shared" si="264"/>
        <v>0</v>
      </c>
      <c r="J302" s="16">
        <f t="shared" si="265"/>
        <v>0</v>
      </c>
      <c r="K302" s="16">
        <f t="shared" si="266"/>
        <v>0</v>
      </c>
      <c r="L302" s="27" t="s">
        <v>922</v>
      </c>
      <c r="Z302" s="33">
        <f t="shared" si="267"/>
        <v>0</v>
      </c>
      <c r="AB302" s="33">
        <f t="shared" si="268"/>
        <v>0</v>
      </c>
      <c r="AC302" s="33">
        <f t="shared" si="269"/>
        <v>0</v>
      </c>
      <c r="AD302" s="33">
        <f t="shared" si="270"/>
        <v>0</v>
      </c>
      <c r="AE302" s="33">
        <f t="shared" si="271"/>
        <v>0</v>
      </c>
      <c r="AF302" s="33">
        <f t="shared" si="272"/>
        <v>0</v>
      </c>
      <c r="AG302" s="33">
        <f t="shared" si="273"/>
        <v>0</v>
      </c>
      <c r="AH302" s="33">
        <f t="shared" si="274"/>
        <v>0</v>
      </c>
      <c r="AI302" s="28"/>
      <c r="AJ302" s="16">
        <f t="shared" si="275"/>
        <v>0</v>
      </c>
      <c r="AK302" s="16">
        <f t="shared" si="276"/>
        <v>0</v>
      </c>
      <c r="AL302" s="16">
        <f t="shared" si="277"/>
        <v>0</v>
      </c>
      <c r="AN302" s="33">
        <v>21</v>
      </c>
      <c r="AO302" s="33">
        <f>H302*0.826446280991736</f>
        <v>0</v>
      </c>
      <c r="AP302" s="33">
        <f>H302*(1-0.826446280991736)</f>
        <v>0</v>
      </c>
      <c r="AQ302" s="27" t="s">
        <v>8</v>
      </c>
      <c r="AV302" s="33">
        <f t="shared" si="278"/>
        <v>0</v>
      </c>
      <c r="AW302" s="33">
        <f t="shared" si="279"/>
        <v>0</v>
      </c>
      <c r="AX302" s="33">
        <f t="shared" si="280"/>
        <v>0</v>
      </c>
      <c r="AY302" s="34" t="s">
        <v>989</v>
      </c>
      <c r="AZ302" s="34" t="s">
        <v>1006</v>
      </c>
      <c r="BA302" s="28" t="s">
        <v>1007</v>
      </c>
      <c r="BC302" s="33">
        <f t="shared" si="281"/>
        <v>0</v>
      </c>
      <c r="BD302" s="33">
        <f t="shared" si="282"/>
        <v>0</v>
      </c>
      <c r="BE302" s="33">
        <v>0</v>
      </c>
      <c r="BF302" s="33">
        <f>306</f>
        <v>306</v>
      </c>
      <c r="BH302" s="16">
        <f t="shared" si="283"/>
        <v>0</v>
      </c>
      <c r="BI302" s="16">
        <f t="shared" si="284"/>
        <v>0</v>
      </c>
      <c r="BJ302" s="16">
        <f t="shared" si="285"/>
        <v>0</v>
      </c>
    </row>
    <row r="303" spans="1:62" ht="12.75">
      <c r="A303" s="4" t="s">
        <v>244</v>
      </c>
      <c r="B303" s="4" t="s">
        <v>539</v>
      </c>
      <c r="C303" s="107" t="s">
        <v>848</v>
      </c>
      <c r="D303" s="108"/>
      <c r="E303" s="108"/>
      <c r="F303" s="4" t="s">
        <v>896</v>
      </c>
      <c r="G303" s="16">
        <v>3</v>
      </c>
      <c r="H303" s="16">
        <v>0</v>
      </c>
      <c r="I303" s="16">
        <f t="shared" si="264"/>
        <v>0</v>
      </c>
      <c r="J303" s="16">
        <f t="shared" si="265"/>
        <v>0</v>
      </c>
      <c r="K303" s="16">
        <f t="shared" si="266"/>
        <v>0</v>
      </c>
      <c r="L303" s="27" t="s">
        <v>922</v>
      </c>
      <c r="Z303" s="33">
        <f t="shared" si="267"/>
        <v>0</v>
      </c>
      <c r="AB303" s="33">
        <f t="shared" si="268"/>
        <v>0</v>
      </c>
      <c r="AC303" s="33">
        <f t="shared" si="269"/>
        <v>0</v>
      </c>
      <c r="AD303" s="33">
        <f t="shared" si="270"/>
        <v>0</v>
      </c>
      <c r="AE303" s="33">
        <f t="shared" si="271"/>
        <v>0</v>
      </c>
      <c r="AF303" s="33">
        <f t="shared" si="272"/>
        <v>0</v>
      </c>
      <c r="AG303" s="33">
        <f t="shared" si="273"/>
        <v>0</v>
      </c>
      <c r="AH303" s="33">
        <f t="shared" si="274"/>
        <v>0</v>
      </c>
      <c r="AI303" s="28"/>
      <c r="AJ303" s="16">
        <f t="shared" si="275"/>
        <v>0</v>
      </c>
      <c r="AK303" s="16">
        <f t="shared" si="276"/>
        <v>0</v>
      </c>
      <c r="AL303" s="16">
        <f t="shared" si="277"/>
        <v>0</v>
      </c>
      <c r="AN303" s="33">
        <v>21</v>
      </c>
      <c r="AO303" s="33">
        <f>H303*0.6056067939001</f>
        <v>0</v>
      </c>
      <c r="AP303" s="33">
        <f>H303*(1-0.6056067939001)</f>
        <v>0</v>
      </c>
      <c r="AQ303" s="27" t="s">
        <v>8</v>
      </c>
      <c r="AV303" s="33">
        <f t="shared" si="278"/>
        <v>0</v>
      </c>
      <c r="AW303" s="33">
        <f t="shared" si="279"/>
        <v>0</v>
      </c>
      <c r="AX303" s="33">
        <f t="shared" si="280"/>
        <v>0</v>
      </c>
      <c r="AY303" s="34" t="s">
        <v>989</v>
      </c>
      <c r="AZ303" s="34" t="s">
        <v>1006</v>
      </c>
      <c r="BA303" s="28" t="s">
        <v>1007</v>
      </c>
      <c r="BC303" s="33">
        <f t="shared" si="281"/>
        <v>0</v>
      </c>
      <c r="BD303" s="33">
        <f t="shared" si="282"/>
        <v>0</v>
      </c>
      <c r="BE303" s="33">
        <v>0</v>
      </c>
      <c r="BF303" s="33">
        <f>307</f>
        <v>307</v>
      </c>
      <c r="BH303" s="16">
        <f t="shared" si="283"/>
        <v>0</v>
      </c>
      <c r="BI303" s="16">
        <f t="shared" si="284"/>
        <v>0</v>
      </c>
      <c r="BJ303" s="16">
        <f t="shared" si="285"/>
        <v>0</v>
      </c>
    </row>
    <row r="304" spans="1:62" ht="12.75">
      <c r="A304" s="4" t="s">
        <v>245</v>
      </c>
      <c r="B304" s="4" t="s">
        <v>540</v>
      </c>
      <c r="C304" s="107" t="s">
        <v>849</v>
      </c>
      <c r="D304" s="108"/>
      <c r="E304" s="108"/>
      <c r="F304" s="4" t="s">
        <v>896</v>
      </c>
      <c r="G304" s="16">
        <v>17</v>
      </c>
      <c r="H304" s="16">
        <v>0</v>
      </c>
      <c r="I304" s="16">
        <f t="shared" si="264"/>
        <v>0</v>
      </c>
      <c r="J304" s="16">
        <f t="shared" si="265"/>
        <v>0</v>
      </c>
      <c r="K304" s="16">
        <f t="shared" si="266"/>
        <v>0</v>
      </c>
      <c r="L304" s="27" t="s">
        <v>922</v>
      </c>
      <c r="Z304" s="33">
        <f t="shared" si="267"/>
        <v>0</v>
      </c>
      <c r="AB304" s="33">
        <f t="shared" si="268"/>
        <v>0</v>
      </c>
      <c r="AC304" s="33">
        <f t="shared" si="269"/>
        <v>0</v>
      </c>
      <c r="AD304" s="33">
        <f t="shared" si="270"/>
        <v>0</v>
      </c>
      <c r="AE304" s="33">
        <f t="shared" si="271"/>
        <v>0</v>
      </c>
      <c r="AF304" s="33">
        <f t="shared" si="272"/>
        <v>0</v>
      </c>
      <c r="AG304" s="33">
        <f t="shared" si="273"/>
        <v>0</v>
      </c>
      <c r="AH304" s="33">
        <f t="shared" si="274"/>
        <v>0</v>
      </c>
      <c r="AI304" s="28"/>
      <c r="AJ304" s="16">
        <f t="shared" si="275"/>
        <v>0</v>
      </c>
      <c r="AK304" s="16">
        <f t="shared" si="276"/>
        <v>0</v>
      </c>
      <c r="AL304" s="16">
        <f t="shared" si="277"/>
        <v>0</v>
      </c>
      <c r="AN304" s="33">
        <v>21</v>
      </c>
      <c r="AO304" s="33">
        <f>H304*0.361467558286644</f>
        <v>0</v>
      </c>
      <c r="AP304" s="33">
        <f>H304*(1-0.361467558286644)</f>
        <v>0</v>
      </c>
      <c r="AQ304" s="27" t="s">
        <v>8</v>
      </c>
      <c r="AV304" s="33">
        <f t="shared" si="278"/>
        <v>0</v>
      </c>
      <c r="AW304" s="33">
        <f t="shared" si="279"/>
        <v>0</v>
      </c>
      <c r="AX304" s="33">
        <f t="shared" si="280"/>
        <v>0</v>
      </c>
      <c r="AY304" s="34" t="s">
        <v>989</v>
      </c>
      <c r="AZ304" s="34" t="s">
        <v>1006</v>
      </c>
      <c r="BA304" s="28" t="s">
        <v>1007</v>
      </c>
      <c r="BC304" s="33">
        <f t="shared" si="281"/>
        <v>0</v>
      </c>
      <c r="BD304" s="33">
        <f t="shared" si="282"/>
        <v>0</v>
      </c>
      <c r="BE304" s="33">
        <v>0</v>
      </c>
      <c r="BF304" s="33">
        <f>308</f>
        <v>308</v>
      </c>
      <c r="BH304" s="16">
        <f t="shared" si="283"/>
        <v>0</v>
      </c>
      <c r="BI304" s="16">
        <f t="shared" si="284"/>
        <v>0</v>
      </c>
      <c r="BJ304" s="16">
        <f t="shared" si="285"/>
        <v>0</v>
      </c>
    </row>
    <row r="305" spans="1:62" ht="12.75">
      <c r="A305" s="4" t="s">
        <v>246</v>
      </c>
      <c r="B305" s="4" t="s">
        <v>541</v>
      </c>
      <c r="C305" s="107" t="s">
        <v>850</v>
      </c>
      <c r="D305" s="108"/>
      <c r="E305" s="108"/>
      <c r="F305" s="4" t="s">
        <v>896</v>
      </c>
      <c r="G305" s="16">
        <v>8</v>
      </c>
      <c r="H305" s="16">
        <v>0</v>
      </c>
      <c r="I305" s="16">
        <f t="shared" si="264"/>
        <v>0</v>
      </c>
      <c r="J305" s="16">
        <f t="shared" si="265"/>
        <v>0</v>
      </c>
      <c r="K305" s="16">
        <f t="shared" si="266"/>
        <v>0</v>
      </c>
      <c r="L305" s="27" t="s">
        <v>922</v>
      </c>
      <c r="Z305" s="33">
        <f t="shared" si="267"/>
        <v>0</v>
      </c>
      <c r="AB305" s="33">
        <f t="shared" si="268"/>
        <v>0</v>
      </c>
      <c r="AC305" s="33">
        <f t="shared" si="269"/>
        <v>0</v>
      </c>
      <c r="AD305" s="33">
        <f t="shared" si="270"/>
        <v>0</v>
      </c>
      <c r="AE305" s="33">
        <f t="shared" si="271"/>
        <v>0</v>
      </c>
      <c r="AF305" s="33">
        <f t="shared" si="272"/>
        <v>0</v>
      </c>
      <c r="AG305" s="33">
        <f t="shared" si="273"/>
        <v>0</v>
      </c>
      <c r="AH305" s="33">
        <f t="shared" si="274"/>
        <v>0</v>
      </c>
      <c r="AI305" s="28"/>
      <c r="AJ305" s="16">
        <f t="shared" si="275"/>
        <v>0</v>
      </c>
      <c r="AK305" s="16">
        <f t="shared" si="276"/>
        <v>0</v>
      </c>
      <c r="AL305" s="16">
        <f t="shared" si="277"/>
        <v>0</v>
      </c>
      <c r="AN305" s="33">
        <v>21</v>
      </c>
      <c r="AO305" s="33">
        <f>H305*0.235359732292248</f>
        <v>0</v>
      </c>
      <c r="AP305" s="33">
        <f>H305*(1-0.235359732292248)</f>
        <v>0</v>
      </c>
      <c r="AQ305" s="27" t="s">
        <v>8</v>
      </c>
      <c r="AV305" s="33">
        <f t="shared" si="278"/>
        <v>0</v>
      </c>
      <c r="AW305" s="33">
        <f t="shared" si="279"/>
        <v>0</v>
      </c>
      <c r="AX305" s="33">
        <f t="shared" si="280"/>
        <v>0</v>
      </c>
      <c r="AY305" s="34" t="s">
        <v>989</v>
      </c>
      <c r="AZ305" s="34" t="s">
        <v>1006</v>
      </c>
      <c r="BA305" s="28" t="s">
        <v>1007</v>
      </c>
      <c r="BC305" s="33">
        <f t="shared" si="281"/>
        <v>0</v>
      </c>
      <c r="BD305" s="33">
        <f t="shared" si="282"/>
        <v>0</v>
      </c>
      <c r="BE305" s="33">
        <v>0</v>
      </c>
      <c r="BF305" s="33">
        <f>309</f>
        <v>309</v>
      </c>
      <c r="BH305" s="16">
        <f t="shared" si="283"/>
        <v>0</v>
      </c>
      <c r="BI305" s="16">
        <f t="shared" si="284"/>
        <v>0</v>
      </c>
      <c r="BJ305" s="16">
        <f t="shared" si="285"/>
        <v>0</v>
      </c>
    </row>
    <row r="306" spans="1:62" ht="12.75">
      <c r="A306" s="4" t="s">
        <v>247</v>
      </c>
      <c r="B306" s="4" t="s">
        <v>542</v>
      </c>
      <c r="C306" s="107" t="s">
        <v>851</v>
      </c>
      <c r="D306" s="108"/>
      <c r="E306" s="108"/>
      <c r="F306" s="4" t="s">
        <v>896</v>
      </c>
      <c r="G306" s="16">
        <v>1</v>
      </c>
      <c r="H306" s="16">
        <v>0</v>
      </c>
      <c r="I306" s="16">
        <f t="shared" si="264"/>
        <v>0</v>
      </c>
      <c r="J306" s="16">
        <f t="shared" si="265"/>
        <v>0</v>
      </c>
      <c r="K306" s="16">
        <f t="shared" si="266"/>
        <v>0</v>
      </c>
      <c r="L306" s="27" t="s">
        <v>922</v>
      </c>
      <c r="Z306" s="33">
        <f t="shared" si="267"/>
        <v>0</v>
      </c>
      <c r="AB306" s="33">
        <f t="shared" si="268"/>
        <v>0</v>
      </c>
      <c r="AC306" s="33">
        <f t="shared" si="269"/>
        <v>0</v>
      </c>
      <c r="AD306" s="33">
        <f t="shared" si="270"/>
        <v>0</v>
      </c>
      <c r="AE306" s="33">
        <f t="shared" si="271"/>
        <v>0</v>
      </c>
      <c r="AF306" s="33">
        <f t="shared" si="272"/>
        <v>0</v>
      </c>
      <c r="AG306" s="33">
        <f t="shared" si="273"/>
        <v>0</v>
      </c>
      <c r="AH306" s="33">
        <f t="shared" si="274"/>
        <v>0</v>
      </c>
      <c r="AI306" s="28"/>
      <c r="AJ306" s="16">
        <f t="shared" si="275"/>
        <v>0</v>
      </c>
      <c r="AK306" s="16">
        <f t="shared" si="276"/>
        <v>0</v>
      </c>
      <c r="AL306" s="16">
        <f t="shared" si="277"/>
        <v>0</v>
      </c>
      <c r="AN306" s="33">
        <v>21</v>
      </c>
      <c r="AO306" s="33">
        <f>H306*0.758090614886731</f>
        <v>0</v>
      </c>
      <c r="AP306" s="33">
        <f>H306*(1-0.758090614886731)</f>
        <v>0</v>
      </c>
      <c r="AQ306" s="27" t="s">
        <v>8</v>
      </c>
      <c r="AV306" s="33">
        <f t="shared" si="278"/>
        <v>0</v>
      </c>
      <c r="AW306" s="33">
        <f t="shared" si="279"/>
        <v>0</v>
      </c>
      <c r="AX306" s="33">
        <f t="shared" si="280"/>
        <v>0</v>
      </c>
      <c r="AY306" s="34" t="s">
        <v>989</v>
      </c>
      <c r="AZ306" s="34" t="s">
        <v>1006</v>
      </c>
      <c r="BA306" s="28" t="s">
        <v>1007</v>
      </c>
      <c r="BC306" s="33">
        <f t="shared" si="281"/>
        <v>0</v>
      </c>
      <c r="BD306" s="33">
        <f t="shared" si="282"/>
        <v>0</v>
      </c>
      <c r="BE306" s="33">
        <v>0</v>
      </c>
      <c r="BF306" s="33">
        <f>310</f>
        <v>310</v>
      </c>
      <c r="BH306" s="16">
        <f t="shared" si="283"/>
        <v>0</v>
      </c>
      <c r="BI306" s="16">
        <f t="shared" si="284"/>
        <v>0</v>
      </c>
      <c r="BJ306" s="16">
        <f t="shared" si="285"/>
        <v>0</v>
      </c>
    </row>
    <row r="307" spans="1:62" ht="12.75">
      <c r="A307" s="4" t="s">
        <v>248</v>
      </c>
      <c r="B307" s="4" t="s">
        <v>543</v>
      </c>
      <c r="C307" s="107" t="s">
        <v>852</v>
      </c>
      <c r="D307" s="108"/>
      <c r="E307" s="108"/>
      <c r="F307" s="4" t="s">
        <v>899</v>
      </c>
      <c r="G307" s="16">
        <v>230</v>
      </c>
      <c r="H307" s="16">
        <v>0</v>
      </c>
      <c r="I307" s="16">
        <f t="shared" si="264"/>
        <v>0</v>
      </c>
      <c r="J307" s="16">
        <f t="shared" si="265"/>
        <v>0</v>
      </c>
      <c r="K307" s="16">
        <f t="shared" si="266"/>
        <v>0</v>
      </c>
      <c r="L307" s="27" t="s">
        <v>922</v>
      </c>
      <c r="Z307" s="33">
        <f t="shared" si="267"/>
        <v>0</v>
      </c>
      <c r="AB307" s="33">
        <f t="shared" si="268"/>
        <v>0</v>
      </c>
      <c r="AC307" s="33">
        <f t="shared" si="269"/>
        <v>0</v>
      </c>
      <c r="AD307" s="33">
        <f t="shared" si="270"/>
        <v>0</v>
      </c>
      <c r="AE307" s="33">
        <f t="shared" si="271"/>
        <v>0</v>
      </c>
      <c r="AF307" s="33">
        <f t="shared" si="272"/>
        <v>0</v>
      </c>
      <c r="AG307" s="33">
        <f t="shared" si="273"/>
        <v>0</v>
      </c>
      <c r="AH307" s="33">
        <f t="shared" si="274"/>
        <v>0</v>
      </c>
      <c r="AI307" s="28"/>
      <c r="AJ307" s="16">
        <f t="shared" si="275"/>
        <v>0</v>
      </c>
      <c r="AK307" s="16">
        <f t="shared" si="276"/>
        <v>0</v>
      </c>
      <c r="AL307" s="16">
        <f t="shared" si="277"/>
        <v>0</v>
      </c>
      <c r="AN307" s="33">
        <v>21</v>
      </c>
      <c r="AO307" s="33">
        <f>H307*0.295588235294118</f>
        <v>0</v>
      </c>
      <c r="AP307" s="33">
        <f>H307*(1-0.295588235294118)</f>
        <v>0</v>
      </c>
      <c r="AQ307" s="27" t="s">
        <v>8</v>
      </c>
      <c r="AV307" s="33">
        <f t="shared" si="278"/>
        <v>0</v>
      </c>
      <c r="AW307" s="33">
        <f t="shared" si="279"/>
        <v>0</v>
      </c>
      <c r="AX307" s="33">
        <f t="shared" si="280"/>
        <v>0</v>
      </c>
      <c r="AY307" s="34" t="s">
        <v>989</v>
      </c>
      <c r="AZ307" s="34" t="s">
        <v>1006</v>
      </c>
      <c r="BA307" s="28" t="s">
        <v>1007</v>
      </c>
      <c r="BC307" s="33">
        <f t="shared" si="281"/>
        <v>0</v>
      </c>
      <c r="BD307" s="33">
        <f t="shared" si="282"/>
        <v>0</v>
      </c>
      <c r="BE307" s="33">
        <v>0</v>
      </c>
      <c r="BF307" s="33">
        <f>311</f>
        <v>311</v>
      </c>
      <c r="BH307" s="16">
        <f t="shared" si="283"/>
        <v>0</v>
      </c>
      <c r="BI307" s="16">
        <f t="shared" si="284"/>
        <v>0</v>
      </c>
      <c r="BJ307" s="16">
        <f t="shared" si="285"/>
        <v>0</v>
      </c>
    </row>
    <row r="308" spans="1:62" ht="12.75">
      <c r="A308" s="4" t="s">
        <v>249</v>
      </c>
      <c r="B308" s="4" t="s">
        <v>544</v>
      </c>
      <c r="C308" s="107" t="s">
        <v>853</v>
      </c>
      <c r="D308" s="108"/>
      <c r="E308" s="108"/>
      <c r="F308" s="4" t="s">
        <v>899</v>
      </c>
      <c r="G308" s="16">
        <v>120</v>
      </c>
      <c r="H308" s="16">
        <v>0</v>
      </c>
      <c r="I308" s="16">
        <f t="shared" si="264"/>
        <v>0</v>
      </c>
      <c r="J308" s="16">
        <f t="shared" si="265"/>
        <v>0</v>
      </c>
      <c r="K308" s="16">
        <f t="shared" si="266"/>
        <v>0</v>
      </c>
      <c r="L308" s="27" t="s">
        <v>922</v>
      </c>
      <c r="Z308" s="33">
        <f t="shared" si="267"/>
        <v>0</v>
      </c>
      <c r="AB308" s="33">
        <f t="shared" si="268"/>
        <v>0</v>
      </c>
      <c r="AC308" s="33">
        <f t="shared" si="269"/>
        <v>0</v>
      </c>
      <c r="AD308" s="33">
        <f t="shared" si="270"/>
        <v>0</v>
      </c>
      <c r="AE308" s="33">
        <f t="shared" si="271"/>
        <v>0</v>
      </c>
      <c r="AF308" s="33">
        <f t="shared" si="272"/>
        <v>0</v>
      </c>
      <c r="AG308" s="33">
        <f t="shared" si="273"/>
        <v>0</v>
      </c>
      <c r="AH308" s="33">
        <f t="shared" si="274"/>
        <v>0</v>
      </c>
      <c r="AI308" s="28"/>
      <c r="AJ308" s="16">
        <f t="shared" si="275"/>
        <v>0</v>
      </c>
      <c r="AK308" s="16">
        <f t="shared" si="276"/>
        <v>0</v>
      </c>
      <c r="AL308" s="16">
        <f t="shared" si="277"/>
        <v>0</v>
      </c>
      <c r="AN308" s="33">
        <v>21</v>
      </c>
      <c r="AO308" s="33">
        <f>H308*0.403736654804271</f>
        <v>0</v>
      </c>
      <c r="AP308" s="33">
        <f>H308*(1-0.403736654804271)</f>
        <v>0</v>
      </c>
      <c r="AQ308" s="27" t="s">
        <v>8</v>
      </c>
      <c r="AV308" s="33">
        <f t="shared" si="278"/>
        <v>0</v>
      </c>
      <c r="AW308" s="33">
        <f t="shared" si="279"/>
        <v>0</v>
      </c>
      <c r="AX308" s="33">
        <f t="shared" si="280"/>
        <v>0</v>
      </c>
      <c r="AY308" s="34" t="s">
        <v>989</v>
      </c>
      <c r="AZ308" s="34" t="s">
        <v>1006</v>
      </c>
      <c r="BA308" s="28" t="s">
        <v>1007</v>
      </c>
      <c r="BC308" s="33">
        <f t="shared" si="281"/>
        <v>0</v>
      </c>
      <c r="BD308" s="33">
        <f t="shared" si="282"/>
        <v>0</v>
      </c>
      <c r="BE308" s="33">
        <v>0</v>
      </c>
      <c r="BF308" s="33">
        <f>312</f>
        <v>312</v>
      </c>
      <c r="BH308" s="16">
        <f t="shared" si="283"/>
        <v>0</v>
      </c>
      <c r="BI308" s="16">
        <f t="shared" si="284"/>
        <v>0</v>
      </c>
      <c r="BJ308" s="16">
        <f t="shared" si="285"/>
        <v>0</v>
      </c>
    </row>
    <row r="309" spans="1:62" ht="12.75">
      <c r="A309" s="4" t="s">
        <v>250</v>
      </c>
      <c r="B309" s="4" t="s">
        <v>545</v>
      </c>
      <c r="C309" s="107" t="s">
        <v>854</v>
      </c>
      <c r="D309" s="108"/>
      <c r="E309" s="108"/>
      <c r="F309" s="4" t="s">
        <v>899</v>
      </c>
      <c r="G309" s="16">
        <v>120</v>
      </c>
      <c r="H309" s="16">
        <v>0</v>
      </c>
      <c r="I309" s="16">
        <f t="shared" si="264"/>
        <v>0</v>
      </c>
      <c r="J309" s="16">
        <f t="shared" si="265"/>
        <v>0</v>
      </c>
      <c r="K309" s="16">
        <f t="shared" si="266"/>
        <v>0</v>
      </c>
      <c r="L309" s="27" t="s">
        <v>922</v>
      </c>
      <c r="Z309" s="33">
        <f t="shared" si="267"/>
        <v>0</v>
      </c>
      <c r="AB309" s="33">
        <f t="shared" si="268"/>
        <v>0</v>
      </c>
      <c r="AC309" s="33">
        <f t="shared" si="269"/>
        <v>0</v>
      </c>
      <c r="AD309" s="33">
        <f t="shared" si="270"/>
        <v>0</v>
      </c>
      <c r="AE309" s="33">
        <f t="shared" si="271"/>
        <v>0</v>
      </c>
      <c r="AF309" s="33">
        <f t="shared" si="272"/>
        <v>0</v>
      </c>
      <c r="AG309" s="33">
        <f t="shared" si="273"/>
        <v>0</v>
      </c>
      <c r="AH309" s="33">
        <f t="shared" si="274"/>
        <v>0</v>
      </c>
      <c r="AI309" s="28"/>
      <c r="AJ309" s="16">
        <f t="shared" si="275"/>
        <v>0</v>
      </c>
      <c r="AK309" s="16">
        <f t="shared" si="276"/>
        <v>0</v>
      </c>
      <c r="AL309" s="16">
        <f t="shared" si="277"/>
        <v>0</v>
      </c>
      <c r="AN309" s="33">
        <v>21</v>
      </c>
      <c r="AO309" s="33">
        <f>H309*0.489281886387996</f>
        <v>0</v>
      </c>
      <c r="AP309" s="33">
        <f>H309*(1-0.489281886387996)</f>
        <v>0</v>
      </c>
      <c r="AQ309" s="27" t="s">
        <v>8</v>
      </c>
      <c r="AV309" s="33">
        <f t="shared" si="278"/>
        <v>0</v>
      </c>
      <c r="AW309" s="33">
        <f t="shared" si="279"/>
        <v>0</v>
      </c>
      <c r="AX309" s="33">
        <f t="shared" si="280"/>
        <v>0</v>
      </c>
      <c r="AY309" s="34" t="s">
        <v>989</v>
      </c>
      <c r="AZ309" s="34" t="s">
        <v>1006</v>
      </c>
      <c r="BA309" s="28" t="s">
        <v>1007</v>
      </c>
      <c r="BC309" s="33">
        <f t="shared" si="281"/>
        <v>0</v>
      </c>
      <c r="BD309" s="33">
        <f t="shared" si="282"/>
        <v>0</v>
      </c>
      <c r="BE309" s="33">
        <v>0</v>
      </c>
      <c r="BF309" s="33">
        <f>313</f>
        <v>313</v>
      </c>
      <c r="BH309" s="16">
        <f t="shared" si="283"/>
        <v>0</v>
      </c>
      <c r="BI309" s="16">
        <f t="shared" si="284"/>
        <v>0</v>
      </c>
      <c r="BJ309" s="16">
        <f t="shared" si="285"/>
        <v>0</v>
      </c>
    </row>
    <row r="310" spans="1:62" ht="12.75">
      <c r="A310" s="4" t="s">
        <v>251</v>
      </c>
      <c r="B310" s="4" t="s">
        <v>546</v>
      </c>
      <c r="C310" s="107" t="s">
        <v>855</v>
      </c>
      <c r="D310" s="108"/>
      <c r="E310" s="108"/>
      <c r="F310" s="4" t="s">
        <v>899</v>
      </c>
      <c r="G310" s="16">
        <v>20</v>
      </c>
      <c r="H310" s="16">
        <v>0</v>
      </c>
      <c r="I310" s="16">
        <f t="shared" si="264"/>
        <v>0</v>
      </c>
      <c r="J310" s="16">
        <f t="shared" si="265"/>
        <v>0</v>
      </c>
      <c r="K310" s="16">
        <f t="shared" si="266"/>
        <v>0</v>
      </c>
      <c r="L310" s="27" t="s">
        <v>922</v>
      </c>
      <c r="Z310" s="33">
        <f t="shared" si="267"/>
        <v>0</v>
      </c>
      <c r="AB310" s="33">
        <f t="shared" si="268"/>
        <v>0</v>
      </c>
      <c r="AC310" s="33">
        <f t="shared" si="269"/>
        <v>0</v>
      </c>
      <c r="AD310" s="33">
        <f t="shared" si="270"/>
        <v>0</v>
      </c>
      <c r="AE310" s="33">
        <f t="shared" si="271"/>
        <v>0</v>
      </c>
      <c r="AF310" s="33">
        <f t="shared" si="272"/>
        <v>0</v>
      </c>
      <c r="AG310" s="33">
        <f t="shared" si="273"/>
        <v>0</v>
      </c>
      <c r="AH310" s="33">
        <f t="shared" si="274"/>
        <v>0</v>
      </c>
      <c r="AI310" s="28"/>
      <c r="AJ310" s="16">
        <f t="shared" si="275"/>
        <v>0</v>
      </c>
      <c r="AK310" s="16">
        <f t="shared" si="276"/>
        <v>0</v>
      </c>
      <c r="AL310" s="16">
        <f t="shared" si="277"/>
        <v>0</v>
      </c>
      <c r="AN310" s="33">
        <v>21</v>
      </c>
      <c r="AO310" s="33">
        <f>H310*0.814821428571428</f>
        <v>0</v>
      </c>
      <c r="AP310" s="33">
        <f>H310*(1-0.814821428571428)</f>
        <v>0</v>
      </c>
      <c r="AQ310" s="27" t="s">
        <v>8</v>
      </c>
      <c r="AV310" s="33">
        <f t="shared" si="278"/>
        <v>0</v>
      </c>
      <c r="AW310" s="33">
        <f t="shared" si="279"/>
        <v>0</v>
      </c>
      <c r="AX310" s="33">
        <f t="shared" si="280"/>
        <v>0</v>
      </c>
      <c r="AY310" s="34" t="s">
        <v>989</v>
      </c>
      <c r="AZ310" s="34" t="s">
        <v>1006</v>
      </c>
      <c r="BA310" s="28" t="s">
        <v>1007</v>
      </c>
      <c r="BC310" s="33">
        <f t="shared" si="281"/>
        <v>0</v>
      </c>
      <c r="BD310" s="33">
        <f t="shared" si="282"/>
        <v>0</v>
      </c>
      <c r="BE310" s="33">
        <v>0</v>
      </c>
      <c r="BF310" s="33">
        <f>314</f>
        <v>314</v>
      </c>
      <c r="BH310" s="16">
        <f t="shared" si="283"/>
        <v>0</v>
      </c>
      <c r="BI310" s="16">
        <f t="shared" si="284"/>
        <v>0</v>
      </c>
      <c r="BJ310" s="16">
        <f t="shared" si="285"/>
        <v>0</v>
      </c>
    </row>
    <row r="311" spans="1:62" ht="12.75">
      <c r="A311" s="4" t="s">
        <v>252</v>
      </c>
      <c r="B311" s="4" t="s">
        <v>547</v>
      </c>
      <c r="C311" s="107" t="s">
        <v>856</v>
      </c>
      <c r="D311" s="108"/>
      <c r="E311" s="108"/>
      <c r="F311" s="4" t="s">
        <v>899</v>
      </c>
      <c r="G311" s="16">
        <v>10</v>
      </c>
      <c r="H311" s="16">
        <v>0</v>
      </c>
      <c r="I311" s="16">
        <f t="shared" si="264"/>
        <v>0</v>
      </c>
      <c r="J311" s="16">
        <f t="shared" si="265"/>
        <v>0</v>
      </c>
      <c r="K311" s="16">
        <f t="shared" si="266"/>
        <v>0</v>
      </c>
      <c r="L311" s="27" t="s">
        <v>922</v>
      </c>
      <c r="Z311" s="33">
        <f t="shared" si="267"/>
        <v>0</v>
      </c>
      <c r="AB311" s="33">
        <f t="shared" si="268"/>
        <v>0</v>
      </c>
      <c r="AC311" s="33">
        <f t="shared" si="269"/>
        <v>0</v>
      </c>
      <c r="AD311" s="33">
        <f t="shared" si="270"/>
        <v>0</v>
      </c>
      <c r="AE311" s="33">
        <f t="shared" si="271"/>
        <v>0</v>
      </c>
      <c r="AF311" s="33">
        <f t="shared" si="272"/>
        <v>0</v>
      </c>
      <c r="AG311" s="33">
        <f t="shared" si="273"/>
        <v>0</v>
      </c>
      <c r="AH311" s="33">
        <f t="shared" si="274"/>
        <v>0</v>
      </c>
      <c r="AI311" s="28"/>
      <c r="AJ311" s="16">
        <f t="shared" si="275"/>
        <v>0</v>
      </c>
      <c r="AK311" s="16">
        <f t="shared" si="276"/>
        <v>0</v>
      </c>
      <c r="AL311" s="16">
        <f t="shared" si="277"/>
        <v>0</v>
      </c>
      <c r="AN311" s="33">
        <v>21</v>
      </c>
      <c r="AO311" s="33">
        <f>H311*0.625</f>
        <v>0</v>
      </c>
      <c r="AP311" s="33">
        <f>H311*(1-0.625)</f>
        <v>0</v>
      </c>
      <c r="AQ311" s="27" t="s">
        <v>8</v>
      </c>
      <c r="AV311" s="33">
        <f t="shared" si="278"/>
        <v>0</v>
      </c>
      <c r="AW311" s="33">
        <f t="shared" si="279"/>
        <v>0</v>
      </c>
      <c r="AX311" s="33">
        <f t="shared" si="280"/>
        <v>0</v>
      </c>
      <c r="AY311" s="34" t="s">
        <v>989</v>
      </c>
      <c r="AZ311" s="34" t="s">
        <v>1006</v>
      </c>
      <c r="BA311" s="28" t="s">
        <v>1007</v>
      </c>
      <c r="BC311" s="33">
        <f t="shared" si="281"/>
        <v>0</v>
      </c>
      <c r="BD311" s="33">
        <f t="shared" si="282"/>
        <v>0</v>
      </c>
      <c r="BE311" s="33">
        <v>0</v>
      </c>
      <c r="BF311" s="33">
        <f>315</f>
        <v>315</v>
      </c>
      <c r="BH311" s="16">
        <f t="shared" si="283"/>
        <v>0</v>
      </c>
      <c r="BI311" s="16">
        <f t="shared" si="284"/>
        <v>0</v>
      </c>
      <c r="BJ311" s="16">
        <f t="shared" si="285"/>
        <v>0</v>
      </c>
    </row>
    <row r="312" spans="1:62" ht="12.75">
      <c r="A312" s="4" t="s">
        <v>253</v>
      </c>
      <c r="B312" s="4" t="s">
        <v>548</v>
      </c>
      <c r="C312" s="107" t="s">
        <v>857</v>
      </c>
      <c r="D312" s="108"/>
      <c r="E312" s="108"/>
      <c r="F312" s="4" t="s">
        <v>899</v>
      </c>
      <c r="G312" s="16">
        <v>20</v>
      </c>
      <c r="H312" s="16">
        <v>0</v>
      </c>
      <c r="I312" s="16">
        <f t="shared" si="264"/>
        <v>0</v>
      </c>
      <c r="J312" s="16">
        <f t="shared" si="265"/>
        <v>0</v>
      </c>
      <c r="K312" s="16">
        <f t="shared" si="266"/>
        <v>0</v>
      </c>
      <c r="L312" s="27" t="s">
        <v>922</v>
      </c>
      <c r="Z312" s="33">
        <f t="shared" si="267"/>
        <v>0</v>
      </c>
      <c r="AB312" s="33">
        <f t="shared" si="268"/>
        <v>0</v>
      </c>
      <c r="AC312" s="33">
        <f t="shared" si="269"/>
        <v>0</v>
      </c>
      <c r="AD312" s="33">
        <f t="shared" si="270"/>
        <v>0</v>
      </c>
      <c r="AE312" s="33">
        <f t="shared" si="271"/>
        <v>0</v>
      </c>
      <c r="AF312" s="33">
        <f t="shared" si="272"/>
        <v>0</v>
      </c>
      <c r="AG312" s="33">
        <f t="shared" si="273"/>
        <v>0</v>
      </c>
      <c r="AH312" s="33">
        <f t="shared" si="274"/>
        <v>0</v>
      </c>
      <c r="AI312" s="28"/>
      <c r="AJ312" s="16">
        <f t="shared" si="275"/>
        <v>0</v>
      </c>
      <c r="AK312" s="16">
        <f t="shared" si="276"/>
        <v>0</v>
      </c>
      <c r="AL312" s="16">
        <f t="shared" si="277"/>
        <v>0</v>
      </c>
      <c r="AN312" s="33">
        <v>21</v>
      </c>
      <c r="AO312" s="33">
        <f>H312*0.717637317140491</f>
        <v>0</v>
      </c>
      <c r="AP312" s="33">
        <f>H312*(1-0.717637317140491)</f>
        <v>0</v>
      </c>
      <c r="AQ312" s="27" t="s">
        <v>8</v>
      </c>
      <c r="AV312" s="33">
        <f t="shared" si="278"/>
        <v>0</v>
      </c>
      <c r="AW312" s="33">
        <f t="shared" si="279"/>
        <v>0</v>
      </c>
      <c r="AX312" s="33">
        <f t="shared" si="280"/>
        <v>0</v>
      </c>
      <c r="AY312" s="34" t="s">
        <v>989</v>
      </c>
      <c r="AZ312" s="34" t="s">
        <v>1006</v>
      </c>
      <c r="BA312" s="28" t="s">
        <v>1007</v>
      </c>
      <c r="BC312" s="33">
        <f t="shared" si="281"/>
        <v>0</v>
      </c>
      <c r="BD312" s="33">
        <f t="shared" si="282"/>
        <v>0</v>
      </c>
      <c r="BE312" s="33">
        <v>0</v>
      </c>
      <c r="BF312" s="33">
        <f>316</f>
        <v>316</v>
      </c>
      <c r="BH312" s="16">
        <f t="shared" si="283"/>
        <v>0</v>
      </c>
      <c r="BI312" s="16">
        <f t="shared" si="284"/>
        <v>0</v>
      </c>
      <c r="BJ312" s="16">
        <f t="shared" si="285"/>
        <v>0</v>
      </c>
    </row>
    <row r="313" spans="1:62" ht="12.75">
      <c r="A313" s="4" t="s">
        <v>254</v>
      </c>
      <c r="B313" s="4" t="s">
        <v>549</v>
      </c>
      <c r="C313" s="107" t="s">
        <v>858</v>
      </c>
      <c r="D313" s="108"/>
      <c r="E313" s="108"/>
      <c r="F313" s="4" t="s">
        <v>899</v>
      </c>
      <c r="G313" s="16">
        <v>45</v>
      </c>
      <c r="H313" s="16">
        <v>0</v>
      </c>
      <c r="I313" s="16">
        <f t="shared" si="264"/>
        <v>0</v>
      </c>
      <c r="J313" s="16">
        <f t="shared" si="265"/>
        <v>0</v>
      </c>
      <c r="K313" s="16">
        <f t="shared" si="266"/>
        <v>0</v>
      </c>
      <c r="L313" s="27" t="s">
        <v>922</v>
      </c>
      <c r="Z313" s="33">
        <f t="shared" si="267"/>
        <v>0</v>
      </c>
      <c r="AB313" s="33">
        <f t="shared" si="268"/>
        <v>0</v>
      </c>
      <c r="AC313" s="33">
        <f t="shared" si="269"/>
        <v>0</v>
      </c>
      <c r="AD313" s="33">
        <f t="shared" si="270"/>
        <v>0</v>
      </c>
      <c r="AE313" s="33">
        <f t="shared" si="271"/>
        <v>0</v>
      </c>
      <c r="AF313" s="33">
        <f t="shared" si="272"/>
        <v>0</v>
      </c>
      <c r="AG313" s="33">
        <f t="shared" si="273"/>
        <v>0</v>
      </c>
      <c r="AH313" s="33">
        <f t="shared" si="274"/>
        <v>0</v>
      </c>
      <c r="AI313" s="28"/>
      <c r="AJ313" s="16">
        <f t="shared" si="275"/>
        <v>0</v>
      </c>
      <c r="AK313" s="16">
        <f t="shared" si="276"/>
        <v>0</v>
      </c>
      <c r="AL313" s="16">
        <f t="shared" si="277"/>
        <v>0</v>
      </c>
      <c r="AN313" s="33">
        <v>21</v>
      </c>
      <c r="AO313" s="33">
        <f>H313*0.339770669885335</f>
        <v>0</v>
      </c>
      <c r="AP313" s="33">
        <f>H313*(1-0.339770669885335)</f>
        <v>0</v>
      </c>
      <c r="AQ313" s="27" t="s">
        <v>8</v>
      </c>
      <c r="AV313" s="33">
        <f t="shared" si="278"/>
        <v>0</v>
      </c>
      <c r="AW313" s="33">
        <f t="shared" si="279"/>
        <v>0</v>
      </c>
      <c r="AX313" s="33">
        <f t="shared" si="280"/>
        <v>0</v>
      </c>
      <c r="AY313" s="34" t="s">
        <v>989</v>
      </c>
      <c r="AZ313" s="34" t="s">
        <v>1006</v>
      </c>
      <c r="BA313" s="28" t="s">
        <v>1007</v>
      </c>
      <c r="BC313" s="33">
        <f t="shared" si="281"/>
        <v>0</v>
      </c>
      <c r="BD313" s="33">
        <f t="shared" si="282"/>
        <v>0</v>
      </c>
      <c r="BE313" s="33">
        <v>0</v>
      </c>
      <c r="BF313" s="33">
        <f>317</f>
        <v>317</v>
      </c>
      <c r="BH313" s="16">
        <f t="shared" si="283"/>
        <v>0</v>
      </c>
      <c r="BI313" s="16">
        <f t="shared" si="284"/>
        <v>0</v>
      </c>
      <c r="BJ313" s="16">
        <f t="shared" si="285"/>
        <v>0</v>
      </c>
    </row>
    <row r="314" spans="1:62" ht="12.75">
      <c r="A314" s="4" t="s">
        <v>255</v>
      </c>
      <c r="B314" s="4" t="s">
        <v>550</v>
      </c>
      <c r="C314" s="107" t="s">
        <v>859</v>
      </c>
      <c r="D314" s="108"/>
      <c r="E314" s="108"/>
      <c r="F314" s="4" t="s">
        <v>896</v>
      </c>
      <c r="G314" s="16">
        <v>16</v>
      </c>
      <c r="H314" s="16">
        <v>0</v>
      </c>
      <c r="I314" s="16">
        <f t="shared" si="264"/>
        <v>0</v>
      </c>
      <c r="J314" s="16">
        <f t="shared" si="265"/>
        <v>0</v>
      </c>
      <c r="K314" s="16">
        <f t="shared" si="266"/>
        <v>0</v>
      </c>
      <c r="L314" s="27" t="s">
        <v>922</v>
      </c>
      <c r="Z314" s="33">
        <f t="shared" si="267"/>
        <v>0</v>
      </c>
      <c r="AB314" s="33">
        <f t="shared" si="268"/>
        <v>0</v>
      </c>
      <c r="AC314" s="33">
        <f t="shared" si="269"/>
        <v>0</v>
      </c>
      <c r="AD314" s="33">
        <f t="shared" si="270"/>
        <v>0</v>
      </c>
      <c r="AE314" s="33">
        <f t="shared" si="271"/>
        <v>0</v>
      </c>
      <c r="AF314" s="33">
        <f t="shared" si="272"/>
        <v>0</v>
      </c>
      <c r="AG314" s="33">
        <f t="shared" si="273"/>
        <v>0</v>
      </c>
      <c r="AH314" s="33">
        <f t="shared" si="274"/>
        <v>0</v>
      </c>
      <c r="AI314" s="28"/>
      <c r="AJ314" s="16">
        <f t="shared" si="275"/>
        <v>0</v>
      </c>
      <c r="AK314" s="16">
        <f t="shared" si="276"/>
        <v>0</v>
      </c>
      <c r="AL314" s="16">
        <f t="shared" si="277"/>
        <v>0</v>
      </c>
      <c r="AN314" s="33">
        <v>21</v>
      </c>
      <c r="AO314" s="33">
        <f>H314*0.202375264487066</f>
        <v>0</v>
      </c>
      <c r="AP314" s="33">
        <f>H314*(1-0.202375264487066)</f>
        <v>0</v>
      </c>
      <c r="AQ314" s="27" t="s">
        <v>8</v>
      </c>
      <c r="AV314" s="33">
        <f t="shared" si="278"/>
        <v>0</v>
      </c>
      <c r="AW314" s="33">
        <f t="shared" si="279"/>
        <v>0</v>
      </c>
      <c r="AX314" s="33">
        <f t="shared" si="280"/>
        <v>0</v>
      </c>
      <c r="AY314" s="34" t="s">
        <v>989</v>
      </c>
      <c r="AZ314" s="34" t="s">
        <v>1006</v>
      </c>
      <c r="BA314" s="28" t="s">
        <v>1007</v>
      </c>
      <c r="BC314" s="33">
        <f t="shared" si="281"/>
        <v>0</v>
      </c>
      <c r="BD314" s="33">
        <f t="shared" si="282"/>
        <v>0</v>
      </c>
      <c r="BE314" s="33">
        <v>0</v>
      </c>
      <c r="BF314" s="33">
        <f>318</f>
        <v>318</v>
      </c>
      <c r="BH314" s="16">
        <f t="shared" si="283"/>
        <v>0</v>
      </c>
      <c r="BI314" s="16">
        <f t="shared" si="284"/>
        <v>0</v>
      </c>
      <c r="BJ314" s="16">
        <f t="shared" si="285"/>
        <v>0</v>
      </c>
    </row>
    <row r="315" spans="1:62" ht="12.75">
      <c r="A315" s="4" t="s">
        <v>256</v>
      </c>
      <c r="B315" s="4" t="s">
        <v>551</v>
      </c>
      <c r="C315" s="107" t="s">
        <v>860</v>
      </c>
      <c r="D315" s="108"/>
      <c r="E315" s="108"/>
      <c r="F315" s="4" t="s">
        <v>899</v>
      </c>
      <c r="G315" s="16">
        <v>60</v>
      </c>
      <c r="H315" s="16">
        <v>0</v>
      </c>
      <c r="I315" s="16">
        <f t="shared" si="264"/>
        <v>0</v>
      </c>
      <c r="J315" s="16">
        <f t="shared" si="265"/>
        <v>0</v>
      </c>
      <c r="K315" s="16">
        <f t="shared" si="266"/>
        <v>0</v>
      </c>
      <c r="L315" s="27" t="s">
        <v>922</v>
      </c>
      <c r="Z315" s="33">
        <f t="shared" si="267"/>
        <v>0</v>
      </c>
      <c r="AB315" s="33">
        <f t="shared" si="268"/>
        <v>0</v>
      </c>
      <c r="AC315" s="33">
        <f t="shared" si="269"/>
        <v>0</v>
      </c>
      <c r="AD315" s="33">
        <f t="shared" si="270"/>
        <v>0</v>
      </c>
      <c r="AE315" s="33">
        <f t="shared" si="271"/>
        <v>0</v>
      </c>
      <c r="AF315" s="33">
        <f t="shared" si="272"/>
        <v>0</v>
      </c>
      <c r="AG315" s="33">
        <f t="shared" si="273"/>
        <v>0</v>
      </c>
      <c r="AH315" s="33">
        <f t="shared" si="274"/>
        <v>0</v>
      </c>
      <c r="AI315" s="28"/>
      <c r="AJ315" s="16">
        <f t="shared" si="275"/>
        <v>0</v>
      </c>
      <c r="AK315" s="16">
        <f t="shared" si="276"/>
        <v>0</v>
      </c>
      <c r="AL315" s="16">
        <f t="shared" si="277"/>
        <v>0</v>
      </c>
      <c r="AN315" s="33">
        <v>21</v>
      </c>
      <c r="AO315" s="33">
        <f>H315*0.187954886382577</f>
        <v>0</v>
      </c>
      <c r="AP315" s="33">
        <f>H315*(1-0.187954886382577)</f>
        <v>0</v>
      </c>
      <c r="AQ315" s="27" t="s">
        <v>8</v>
      </c>
      <c r="AV315" s="33">
        <f t="shared" si="278"/>
        <v>0</v>
      </c>
      <c r="AW315" s="33">
        <f t="shared" si="279"/>
        <v>0</v>
      </c>
      <c r="AX315" s="33">
        <f t="shared" si="280"/>
        <v>0</v>
      </c>
      <c r="AY315" s="34" t="s">
        <v>989</v>
      </c>
      <c r="AZ315" s="34" t="s">
        <v>1006</v>
      </c>
      <c r="BA315" s="28" t="s">
        <v>1007</v>
      </c>
      <c r="BC315" s="33">
        <f t="shared" si="281"/>
        <v>0</v>
      </c>
      <c r="BD315" s="33">
        <f t="shared" si="282"/>
        <v>0</v>
      </c>
      <c r="BE315" s="33">
        <v>0</v>
      </c>
      <c r="BF315" s="33">
        <f>319</f>
        <v>319</v>
      </c>
      <c r="BH315" s="16">
        <f t="shared" si="283"/>
        <v>0</v>
      </c>
      <c r="BI315" s="16">
        <f t="shared" si="284"/>
        <v>0</v>
      </c>
      <c r="BJ315" s="16">
        <f t="shared" si="285"/>
        <v>0</v>
      </c>
    </row>
    <row r="316" spans="1:62" ht="12.75">
      <c r="A316" s="4" t="s">
        <v>257</v>
      </c>
      <c r="B316" s="4" t="s">
        <v>552</v>
      </c>
      <c r="C316" s="107" t="s">
        <v>861</v>
      </c>
      <c r="D316" s="108"/>
      <c r="E316" s="108"/>
      <c r="F316" s="4" t="s">
        <v>896</v>
      </c>
      <c r="G316" s="16">
        <v>1</v>
      </c>
      <c r="H316" s="16">
        <v>0</v>
      </c>
      <c r="I316" s="16">
        <f t="shared" si="264"/>
        <v>0</v>
      </c>
      <c r="J316" s="16">
        <f t="shared" si="265"/>
        <v>0</v>
      </c>
      <c r="K316" s="16">
        <f t="shared" si="266"/>
        <v>0</v>
      </c>
      <c r="L316" s="27" t="s">
        <v>922</v>
      </c>
      <c r="Z316" s="33">
        <f t="shared" si="267"/>
        <v>0</v>
      </c>
      <c r="AB316" s="33">
        <f t="shared" si="268"/>
        <v>0</v>
      </c>
      <c r="AC316" s="33">
        <f t="shared" si="269"/>
        <v>0</v>
      </c>
      <c r="AD316" s="33">
        <f t="shared" si="270"/>
        <v>0</v>
      </c>
      <c r="AE316" s="33">
        <f t="shared" si="271"/>
        <v>0</v>
      </c>
      <c r="AF316" s="33">
        <f t="shared" si="272"/>
        <v>0</v>
      </c>
      <c r="AG316" s="33">
        <f t="shared" si="273"/>
        <v>0</v>
      </c>
      <c r="AH316" s="33">
        <f t="shared" si="274"/>
        <v>0</v>
      </c>
      <c r="AI316" s="28"/>
      <c r="AJ316" s="16">
        <f t="shared" si="275"/>
        <v>0</v>
      </c>
      <c r="AK316" s="16">
        <f t="shared" si="276"/>
        <v>0</v>
      </c>
      <c r="AL316" s="16">
        <f t="shared" si="277"/>
        <v>0</v>
      </c>
      <c r="AN316" s="33">
        <v>21</v>
      </c>
      <c r="AO316" s="33">
        <f>H316*0.942052798773141</f>
        <v>0</v>
      </c>
      <c r="AP316" s="33">
        <f>H316*(1-0.942052798773141)</f>
        <v>0</v>
      </c>
      <c r="AQ316" s="27" t="s">
        <v>8</v>
      </c>
      <c r="AV316" s="33">
        <f t="shared" si="278"/>
        <v>0</v>
      </c>
      <c r="AW316" s="33">
        <f t="shared" si="279"/>
        <v>0</v>
      </c>
      <c r="AX316" s="33">
        <f t="shared" si="280"/>
        <v>0</v>
      </c>
      <c r="AY316" s="34" t="s">
        <v>989</v>
      </c>
      <c r="AZ316" s="34" t="s">
        <v>1006</v>
      </c>
      <c r="BA316" s="28" t="s">
        <v>1007</v>
      </c>
      <c r="BC316" s="33">
        <f t="shared" si="281"/>
        <v>0</v>
      </c>
      <c r="BD316" s="33">
        <f t="shared" si="282"/>
        <v>0</v>
      </c>
      <c r="BE316" s="33">
        <v>0</v>
      </c>
      <c r="BF316" s="33">
        <f>320</f>
        <v>320</v>
      </c>
      <c r="BH316" s="16">
        <f t="shared" si="283"/>
        <v>0</v>
      </c>
      <c r="BI316" s="16">
        <f t="shared" si="284"/>
        <v>0</v>
      </c>
      <c r="BJ316" s="16">
        <f t="shared" si="285"/>
        <v>0</v>
      </c>
    </row>
    <row r="317" spans="1:62" ht="12.75">
      <c r="A317" s="6" t="s">
        <v>258</v>
      </c>
      <c r="B317" s="6" t="s">
        <v>553</v>
      </c>
      <c r="C317" s="111" t="s">
        <v>1287</v>
      </c>
      <c r="D317" s="112"/>
      <c r="E317" s="112"/>
      <c r="F317" s="6" t="s">
        <v>896</v>
      </c>
      <c r="G317" s="17">
        <v>75</v>
      </c>
      <c r="H317" s="17">
        <v>0</v>
      </c>
      <c r="I317" s="17">
        <f t="shared" si="264"/>
        <v>0</v>
      </c>
      <c r="J317" s="17">
        <f t="shared" si="265"/>
        <v>0</v>
      </c>
      <c r="K317" s="17">
        <f t="shared" si="266"/>
        <v>0</v>
      </c>
      <c r="L317" s="29" t="s">
        <v>922</v>
      </c>
      <c r="Z317" s="33">
        <f t="shared" si="267"/>
        <v>0</v>
      </c>
      <c r="AB317" s="33">
        <f t="shared" si="268"/>
        <v>0</v>
      </c>
      <c r="AC317" s="33">
        <f t="shared" si="269"/>
        <v>0</v>
      </c>
      <c r="AD317" s="33">
        <f t="shared" si="270"/>
        <v>0</v>
      </c>
      <c r="AE317" s="33">
        <f t="shared" si="271"/>
        <v>0</v>
      </c>
      <c r="AF317" s="33">
        <f t="shared" si="272"/>
        <v>0</v>
      </c>
      <c r="AG317" s="33">
        <f t="shared" si="273"/>
        <v>0</v>
      </c>
      <c r="AH317" s="33">
        <f t="shared" si="274"/>
        <v>0</v>
      </c>
      <c r="AI317" s="28"/>
      <c r="AJ317" s="17">
        <f t="shared" si="275"/>
        <v>0</v>
      </c>
      <c r="AK317" s="17">
        <f t="shared" si="276"/>
        <v>0</v>
      </c>
      <c r="AL317" s="17">
        <f t="shared" si="277"/>
        <v>0</v>
      </c>
      <c r="AN317" s="33">
        <v>21</v>
      </c>
      <c r="AO317" s="33">
        <f>H317*1</f>
        <v>0</v>
      </c>
      <c r="AP317" s="33">
        <f>H317*(1-1)</f>
        <v>0</v>
      </c>
      <c r="AQ317" s="29" t="s">
        <v>7</v>
      </c>
      <c r="AV317" s="33">
        <f t="shared" si="278"/>
        <v>0</v>
      </c>
      <c r="AW317" s="33">
        <f t="shared" si="279"/>
        <v>0</v>
      </c>
      <c r="AX317" s="33">
        <f t="shared" si="280"/>
        <v>0</v>
      </c>
      <c r="AY317" s="34" t="s">
        <v>989</v>
      </c>
      <c r="AZ317" s="34" t="s">
        <v>1006</v>
      </c>
      <c r="BA317" s="28" t="s">
        <v>1007</v>
      </c>
      <c r="BC317" s="33">
        <f t="shared" si="281"/>
        <v>0</v>
      </c>
      <c r="BD317" s="33">
        <f t="shared" si="282"/>
        <v>0</v>
      </c>
      <c r="BE317" s="33">
        <v>0</v>
      </c>
      <c r="BF317" s="33">
        <f>321</f>
        <v>321</v>
      </c>
      <c r="BH317" s="17">
        <f t="shared" si="283"/>
        <v>0</v>
      </c>
      <c r="BI317" s="17">
        <f t="shared" si="284"/>
        <v>0</v>
      </c>
      <c r="BJ317" s="17">
        <f t="shared" si="285"/>
        <v>0</v>
      </c>
    </row>
    <row r="318" spans="1:62" ht="12.75">
      <c r="A318" s="6" t="s">
        <v>259</v>
      </c>
      <c r="B318" s="6" t="s">
        <v>554</v>
      </c>
      <c r="C318" s="111" t="s">
        <v>862</v>
      </c>
      <c r="D318" s="112"/>
      <c r="E318" s="112"/>
      <c r="F318" s="6" t="s">
        <v>899</v>
      </c>
      <c r="G318" s="17">
        <v>20</v>
      </c>
      <c r="H318" s="17">
        <v>0</v>
      </c>
      <c r="I318" s="17">
        <f t="shared" si="264"/>
        <v>0</v>
      </c>
      <c r="J318" s="17">
        <f t="shared" si="265"/>
        <v>0</v>
      </c>
      <c r="K318" s="17">
        <f t="shared" si="266"/>
        <v>0</v>
      </c>
      <c r="L318" s="29"/>
      <c r="Z318" s="33">
        <f t="shared" si="267"/>
        <v>0</v>
      </c>
      <c r="AB318" s="33">
        <f t="shared" si="268"/>
        <v>0</v>
      </c>
      <c r="AC318" s="33">
        <f t="shared" si="269"/>
        <v>0</v>
      </c>
      <c r="AD318" s="33">
        <f t="shared" si="270"/>
        <v>0</v>
      </c>
      <c r="AE318" s="33">
        <f t="shared" si="271"/>
        <v>0</v>
      </c>
      <c r="AF318" s="33">
        <f t="shared" si="272"/>
        <v>0</v>
      </c>
      <c r="AG318" s="33">
        <f t="shared" si="273"/>
        <v>0</v>
      </c>
      <c r="AH318" s="33">
        <f t="shared" si="274"/>
        <v>0</v>
      </c>
      <c r="AI318" s="28"/>
      <c r="AJ318" s="17">
        <f t="shared" si="275"/>
        <v>0</v>
      </c>
      <c r="AK318" s="17">
        <f t="shared" si="276"/>
        <v>0</v>
      </c>
      <c r="AL318" s="17">
        <f t="shared" si="277"/>
        <v>0</v>
      </c>
      <c r="AN318" s="33">
        <v>21</v>
      </c>
      <c r="AO318" s="33">
        <f>H318*1</f>
        <v>0</v>
      </c>
      <c r="AP318" s="33">
        <f>H318*(1-1)</f>
        <v>0</v>
      </c>
      <c r="AQ318" s="29" t="s">
        <v>7</v>
      </c>
      <c r="AV318" s="33">
        <f t="shared" si="278"/>
        <v>0</v>
      </c>
      <c r="AW318" s="33">
        <f t="shared" si="279"/>
        <v>0</v>
      </c>
      <c r="AX318" s="33">
        <f t="shared" si="280"/>
        <v>0</v>
      </c>
      <c r="AY318" s="34" t="s">
        <v>989</v>
      </c>
      <c r="AZ318" s="34" t="s">
        <v>1006</v>
      </c>
      <c r="BA318" s="28" t="s">
        <v>1007</v>
      </c>
      <c r="BC318" s="33">
        <f t="shared" si="281"/>
        <v>0</v>
      </c>
      <c r="BD318" s="33">
        <f t="shared" si="282"/>
        <v>0</v>
      </c>
      <c r="BE318" s="33">
        <v>0</v>
      </c>
      <c r="BF318" s="33">
        <f>322</f>
        <v>322</v>
      </c>
      <c r="BH318" s="17">
        <f t="shared" si="283"/>
        <v>0</v>
      </c>
      <c r="BI318" s="17">
        <f t="shared" si="284"/>
        <v>0</v>
      </c>
      <c r="BJ318" s="17">
        <f t="shared" si="285"/>
        <v>0</v>
      </c>
    </row>
    <row r="319" spans="1:47" ht="12.75">
      <c r="A319" s="5"/>
      <c r="B319" s="13" t="s">
        <v>555</v>
      </c>
      <c r="C319" s="109" t="s">
        <v>863</v>
      </c>
      <c r="D319" s="110"/>
      <c r="E319" s="110"/>
      <c r="F319" s="5" t="s">
        <v>6</v>
      </c>
      <c r="G319" s="5" t="s">
        <v>6</v>
      </c>
      <c r="H319" s="5" t="s">
        <v>6</v>
      </c>
      <c r="I319" s="36">
        <f>SUM(I320:I321)</f>
        <v>0</v>
      </c>
      <c r="J319" s="36">
        <f>SUM(J320:J321)</f>
        <v>0</v>
      </c>
      <c r="K319" s="36">
        <f>SUM(K320:K321)</f>
        <v>0</v>
      </c>
      <c r="L319" s="28"/>
      <c r="AI319" s="28"/>
      <c r="AS319" s="36">
        <f>SUM(AJ320:AJ321)</f>
        <v>0</v>
      </c>
      <c r="AT319" s="36">
        <f>SUM(AK320:AK321)</f>
        <v>0</v>
      </c>
      <c r="AU319" s="36">
        <f>SUM(AL320:AL321)</f>
        <v>0</v>
      </c>
    </row>
    <row r="320" spans="1:62" ht="12.75">
      <c r="A320" s="4" t="s">
        <v>260</v>
      </c>
      <c r="B320" s="4" t="s">
        <v>556</v>
      </c>
      <c r="C320" s="107" t="s">
        <v>864</v>
      </c>
      <c r="D320" s="108"/>
      <c r="E320" s="108"/>
      <c r="F320" s="4" t="s">
        <v>896</v>
      </c>
      <c r="G320" s="16">
        <v>1</v>
      </c>
      <c r="H320" s="16">
        <v>0</v>
      </c>
      <c r="I320" s="16">
        <f>G320*AO320</f>
        <v>0</v>
      </c>
      <c r="J320" s="16">
        <f>G320*AP320</f>
        <v>0</v>
      </c>
      <c r="K320" s="16">
        <f>G320*H320</f>
        <v>0</v>
      </c>
      <c r="L320" s="27" t="s">
        <v>922</v>
      </c>
      <c r="Z320" s="33">
        <f>IF(AQ320="5",BJ320,0)</f>
        <v>0</v>
      </c>
      <c r="AB320" s="33">
        <f>IF(AQ320="1",BH320,0)</f>
        <v>0</v>
      </c>
      <c r="AC320" s="33">
        <f>IF(AQ320="1",BI320,0)</f>
        <v>0</v>
      </c>
      <c r="AD320" s="33">
        <f>IF(AQ320="7",BH320,0)</f>
        <v>0</v>
      </c>
      <c r="AE320" s="33">
        <f>IF(AQ320="7",BI320,0)</f>
        <v>0</v>
      </c>
      <c r="AF320" s="33">
        <f>IF(AQ320="2",BH320,0)</f>
        <v>0</v>
      </c>
      <c r="AG320" s="33">
        <f>IF(AQ320="2",BI320,0)</f>
        <v>0</v>
      </c>
      <c r="AH320" s="33">
        <f>IF(AQ320="0",BJ320,0)</f>
        <v>0</v>
      </c>
      <c r="AI320" s="28"/>
      <c r="AJ320" s="16">
        <f>IF(AN320=0,K320,0)</f>
        <v>0</v>
      </c>
      <c r="AK320" s="16">
        <f>IF(AN320=15,K320,0)</f>
        <v>0</v>
      </c>
      <c r="AL320" s="16">
        <f>IF(AN320=21,K320,0)</f>
        <v>0</v>
      </c>
      <c r="AN320" s="33">
        <v>21</v>
      </c>
      <c r="AO320" s="33">
        <f>H320*0.72289156626506</f>
        <v>0</v>
      </c>
      <c r="AP320" s="33">
        <f>H320*(1-0.72289156626506)</f>
        <v>0</v>
      </c>
      <c r="AQ320" s="27" t="s">
        <v>8</v>
      </c>
      <c r="AV320" s="33">
        <f>AW320+AX320</f>
        <v>0</v>
      </c>
      <c r="AW320" s="33">
        <f>G320*AO320</f>
        <v>0</v>
      </c>
      <c r="AX320" s="33">
        <f>G320*AP320</f>
        <v>0</v>
      </c>
      <c r="AY320" s="34" t="s">
        <v>990</v>
      </c>
      <c r="AZ320" s="34" t="s">
        <v>1006</v>
      </c>
      <c r="BA320" s="28" t="s">
        <v>1007</v>
      </c>
      <c r="BC320" s="33">
        <f>AW320+AX320</f>
        <v>0</v>
      </c>
      <c r="BD320" s="33">
        <f>H320/(100-BE320)*100</f>
        <v>0</v>
      </c>
      <c r="BE320" s="33">
        <v>0</v>
      </c>
      <c r="BF320" s="33">
        <f>324</f>
        <v>324</v>
      </c>
      <c r="BH320" s="16">
        <f>G320*AO320</f>
        <v>0</v>
      </c>
      <c r="BI320" s="16">
        <f>G320*AP320</f>
        <v>0</v>
      </c>
      <c r="BJ320" s="16">
        <f>G320*H320</f>
        <v>0</v>
      </c>
    </row>
    <row r="321" spans="1:62" ht="12.75">
      <c r="A321" s="4" t="s">
        <v>261</v>
      </c>
      <c r="B321" s="4" t="s">
        <v>557</v>
      </c>
      <c r="C321" s="107" t="s">
        <v>865</v>
      </c>
      <c r="D321" s="108"/>
      <c r="E321" s="108"/>
      <c r="F321" s="4" t="s">
        <v>899</v>
      </c>
      <c r="G321" s="16">
        <v>10</v>
      </c>
      <c r="H321" s="16">
        <v>0</v>
      </c>
      <c r="I321" s="16">
        <f>G321*AO321</f>
        <v>0</v>
      </c>
      <c r="J321" s="16">
        <f>G321*AP321</f>
        <v>0</v>
      </c>
      <c r="K321" s="16">
        <f>G321*H321</f>
        <v>0</v>
      </c>
      <c r="L321" s="27" t="s">
        <v>922</v>
      </c>
      <c r="Z321" s="33">
        <f>IF(AQ321="5",BJ321,0)</f>
        <v>0</v>
      </c>
      <c r="AB321" s="33">
        <f>IF(AQ321="1",BH321,0)</f>
        <v>0</v>
      </c>
      <c r="AC321" s="33">
        <f>IF(AQ321="1",BI321,0)</f>
        <v>0</v>
      </c>
      <c r="AD321" s="33">
        <f>IF(AQ321="7",BH321,0)</f>
        <v>0</v>
      </c>
      <c r="AE321" s="33">
        <f>IF(AQ321="7",BI321,0)</f>
        <v>0</v>
      </c>
      <c r="AF321" s="33">
        <f>IF(AQ321="2",BH321,0)</f>
        <v>0</v>
      </c>
      <c r="AG321" s="33">
        <f>IF(AQ321="2",BI321,0)</f>
        <v>0</v>
      </c>
      <c r="AH321" s="33">
        <f>IF(AQ321="0",BJ321,0)</f>
        <v>0</v>
      </c>
      <c r="AI321" s="28"/>
      <c r="AJ321" s="16">
        <f>IF(AN321=0,K321,0)</f>
        <v>0</v>
      </c>
      <c r="AK321" s="16">
        <f>IF(AN321=15,K321,0)</f>
        <v>0</v>
      </c>
      <c r="AL321" s="16">
        <f>IF(AN321=21,K321,0)</f>
        <v>0</v>
      </c>
      <c r="AN321" s="33">
        <v>21</v>
      </c>
      <c r="AO321" s="33">
        <f>H321*0.519930675909879</f>
        <v>0</v>
      </c>
      <c r="AP321" s="33">
        <f>H321*(1-0.519930675909879)</f>
        <v>0</v>
      </c>
      <c r="AQ321" s="27" t="s">
        <v>8</v>
      </c>
      <c r="AV321" s="33">
        <f>AW321+AX321</f>
        <v>0</v>
      </c>
      <c r="AW321" s="33">
        <f>G321*AO321</f>
        <v>0</v>
      </c>
      <c r="AX321" s="33">
        <f>G321*AP321</f>
        <v>0</v>
      </c>
      <c r="AY321" s="34" t="s">
        <v>990</v>
      </c>
      <c r="AZ321" s="34" t="s">
        <v>1006</v>
      </c>
      <c r="BA321" s="28" t="s">
        <v>1007</v>
      </c>
      <c r="BC321" s="33">
        <f>AW321+AX321</f>
        <v>0</v>
      </c>
      <c r="BD321" s="33">
        <f>H321/(100-BE321)*100</f>
        <v>0</v>
      </c>
      <c r="BE321" s="33">
        <v>0</v>
      </c>
      <c r="BF321" s="33">
        <f>325</f>
        <v>325</v>
      </c>
      <c r="BH321" s="16">
        <f>G321*AO321</f>
        <v>0</v>
      </c>
      <c r="BI321" s="16">
        <f>G321*AP321</f>
        <v>0</v>
      </c>
      <c r="BJ321" s="16">
        <f>G321*H321</f>
        <v>0</v>
      </c>
    </row>
    <row r="322" spans="1:47" ht="12.75">
      <c r="A322" s="5"/>
      <c r="B322" s="13" t="s">
        <v>558</v>
      </c>
      <c r="C322" s="109" t="s">
        <v>866</v>
      </c>
      <c r="D322" s="110"/>
      <c r="E322" s="110"/>
      <c r="F322" s="5" t="s">
        <v>6</v>
      </c>
      <c r="G322" s="5" t="s">
        <v>6</v>
      </c>
      <c r="H322" s="5" t="s">
        <v>6</v>
      </c>
      <c r="I322" s="36">
        <f>SUM(I323:I323)</f>
        <v>0</v>
      </c>
      <c r="J322" s="36">
        <f>SUM(J323:J323)</f>
        <v>0</v>
      </c>
      <c r="K322" s="36">
        <f>SUM(K323:K323)</f>
        <v>0</v>
      </c>
      <c r="L322" s="28"/>
      <c r="AI322" s="28"/>
      <c r="AS322" s="36">
        <f>SUM(AJ323:AJ323)</f>
        <v>0</v>
      </c>
      <c r="AT322" s="36">
        <f>SUM(AK323:AK323)</f>
        <v>0</v>
      </c>
      <c r="AU322" s="36">
        <f>SUM(AL323:AL323)</f>
        <v>0</v>
      </c>
    </row>
    <row r="323" spans="1:62" ht="12.75">
      <c r="A323" s="4" t="s">
        <v>262</v>
      </c>
      <c r="B323" s="4" t="s">
        <v>559</v>
      </c>
      <c r="C323" s="107" t="s">
        <v>867</v>
      </c>
      <c r="D323" s="108"/>
      <c r="E323" s="108"/>
      <c r="F323" s="4" t="s">
        <v>899</v>
      </c>
      <c r="G323" s="16">
        <v>9</v>
      </c>
      <c r="H323" s="16">
        <v>0</v>
      </c>
      <c r="I323" s="16">
        <f>G323*AO323</f>
        <v>0</v>
      </c>
      <c r="J323" s="16">
        <f>G323*AP323</f>
        <v>0</v>
      </c>
      <c r="K323" s="16">
        <f>G323*H323</f>
        <v>0</v>
      </c>
      <c r="L323" s="27" t="s">
        <v>922</v>
      </c>
      <c r="Z323" s="33">
        <f>IF(AQ323="5",BJ323,0)</f>
        <v>0</v>
      </c>
      <c r="AB323" s="33">
        <f>IF(AQ323="1",BH323,0)</f>
        <v>0</v>
      </c>
      <c r="AC323" s="33">
        <f>IF(AQ323="1",BI323,0)</f>
        <v>0</v>
      </c>
      <c r="AD323" s="33">
        <f>IF(AQ323="7",BH323,0)</f>
        <v>0</v>
      </c>
      <c r="AE323" s="33">
        <f>IF(AQ323="7",BI323,0)</f>
        <v>0</v>
      </c>
      <c r="AF323" s="33">
        <f>IF(AQ323="2",BH323,0)</f>
        <v>0</v>
      </c>
      <c r="AG323" s="33">
        <f>IF(AQ323="2",BI323,0)</f>
        <v>0</v>
      </c>
      <c r="AH323" s="33">
        <f>IF(AQ323="0",BJ323,0)</f>
        <v>0</v>
      </c>
      <c r="AI323" s="28"/>
      <c r="AJ323" s="16">
        <f>IF(AN323=0,K323,0)</f>
        <v>0</v>
      </c>
      <c r="AK323" s="16">
        <f>IF(AN323=15,K323,0)</f>
        <v>0</v>
      </c>
      <c r="AL323" s="16">
        <f>IF(AN323=21,K323,0)</f>
        <v>0</v>
      </c>
      <c r="AN323" s="33">
        <v>21</v>
      </c>
      <c r="AO323" s="33">
        <f>H323*0</f>
        <v>0</v>
      </c>
      <c r="AP323" s="33">
        <f>H323*(1-0)</f>
        <v>0</v>
      </c>
      <c r="AQ323" s="27" t="s">
        <v>8</v>
      </c>
      <c r="AV323" s="33">
        <f>AW323+AX323</f>
        <v>0</v>
      </c>
      <c r="AW323" s="33">
        <f>G323*AO323</f>
        <v>0</v>
      </c>
      <c r="AX323" s="33">
        <f>G323*AP323</f>
        <v>0</v>
      </c>
      <c r="AY323" s="34" t="s">
        <v>991</v>
      </c>
      <c r="AZ323" s="34" t="s">
        <v>1006</v>
      </c>
      <c r="BA323" s="28" t="s">
        <v>1007</v>
      </c>
      <c r="BC323" s="33">
        <f>AW323+AX323</f>
        <v>0</v>
      </c>
      <c r="BD323" s="33">
        <f>H323/(100-BE323)*100</f>
        <v>0</v>
      </c>
      <c r="BE323" s="33">
        <v>0</v>
      </c>
      <c r="BF323" s="33">
        <f>327</f>
        <v>327</v>
      </c>
      <c r="BH323" s="16">
        <f>G323*AO323</f>
        <v>0</v>
      </c>
      <c r="BI323" s="16">
        <f>G323*AP323</f>
        <v>0</v>
      </c>
      <c r="BJ323" s="16">
        <f>G323*H323</f>
        <v>0</v>
      </c>
    </row>
    <row r="324" spans="1:47" ht="12.75">
      <c r="A324" s="5"/>
      <c r="B324" s="13" t="s">
        <v>560</v>
      </c>
      <c r="C324" s="109" t="s">
        <v>868</v>
      </c>
      <c r="D324" s="110"/>
      <c r="E324" s="110"/>
      <c r="F324" s="5" t="s">
        <v>6</v>
      </c>
      <c r="G324" s="5" t="s">
        <v>6</v>
      </c>
      <c r="H324" s="5" t="s">
        <v>6</v>
      </c>
      <c r="I324" s="36">
        <f>SUM(I325:I341)</f>
        <v>0</v>
      </c>
      <c r="J324" s="36">
        <f>SUM(J325:J341)</f>
        <v>0</v>
      </c>
      <c r="K324" s="36">
        <f>SUM(K325:K341)</f>
        <v>0</v>
      </c>
      <c r="L324" s="28"/>
      <c r="AI324" s="28"/>
      <c r="AS324" s="36">
        <f>SUM(AJ325:AJ341)</f>
        <v>0</v>
      </c>
      <c r="AT324" s="36">
        <f>SUM(AK325:AK341)</f>
        <v>0</v>
      </c>
      <c r="AU324" s="36">
        <f>SUM(AL325:AL341)</f>
        <v>0</v>
      </c>
    </row>
    <row r="325" spans="1:62" ht="12.75">
      <c r="A325" s="4" t="s">
        <v>263</v>
      </c>
      <c r="B325" s="4" t="s">
        <v>561</v>
      </c>
      <c r="C325" s="107" t="s">
        <v>869</v>
      </c>
      <c r="D325" s="108"/>
      <c r="E325" s="108"/>
      <c r="F325" s="4" t="s">
        <v>898</v>
      </c>
      <c r="G325" s="16">
        <v>43.4483</v>
      </c>
      <c r="H325" s="16">
        <v>0</v>
      </c>
      <c r="I325" s="16">
        <f aca="true" t="shared" si="286" ref="I325:I341">G325*AO325</f>
        <v>0</v>
      </c>
      <c r="J325" s="16">
        <f aca="true" t="shared" si="287" ref="J325:J341">G325*AP325</f>
        <v>0</v>
      </c>
      <c r="K325" s="16">
        <f aca="true" t="shared" si="288" ref="K325:K341">G325*H325</f>
        <v>0</v>
      </c>
      <c r="L325" s="27" t="s">
        <v>922</v>
      </c>
      <c r="Z325" s="33">
        <f aca="true" t="shared" si="289" ref="Z325:Z341">IF(AQ325="5",BJ325,0)</f>
        <v>0</v>
      </c>
      <c r="AB325" s="33">
        <f aca="true" t="shared" si="290" ref="AB325:AB341">IF(AQ325="1",BH325,0)</f>
        <v>0</v>
      </c>
      <c r="AC325" s="33">
        <f aca="true" t="shared" si="291" ref="AC325:AC341">IF(AQ325="1",BI325,0)</f>
        <v>0</v>
      </c>
      <c r="AD325" s="33">
        <f aca="true" t="shared" si="292" ref="AD325:AD341">IF(AQ325="7",BH325,0)</f>
        <v>0</v>
      </c>
      <c r="AE325" s="33">
        <f aca="true" t="shared" si="293" ref="AE325:AE341">IF(AQ325="7",BI325,0)</f>
        <v>0</v>
      </c>
      <c r="AF325" s="33">
        <f aca="true" t="shared" si="294" ref="AF325:AF341">IF(AQ325="2",BH325,0)</f>
        <v>0</v>
      </c>
      <c r="AG325" s="33">
        <f aca="true" t="shared" si="295" ref="AG325:AG341">IF(AQ325="2",BI325,0)</f>
        <v>0</v>
      </c>
      <c r="AH325" s="33">
        <f aca="true" t="shared" si="296" ref="AH325:AH341">IF(AQ325="0",BJ325,0)</f>
        <v>0</v>
      </c>
      <c r="AI325" s="28"/>
      <c r="AJ325" s="16">
        <f aca="true" t="shared" si="297" ref="AJ325:AJ341">IF(AN325=0,K325,0)</f>
        <v>0</v>
      </c>
      <c r="AK325" s="16">
        <f aca="true" t="shared" si="298" ref="AK325:AK341">IF(AN325=15,K325,0)</f>
        <v>0</v>
      </c>
      <c r="AL325" s="16">
        <f aca="true" t="shared" si="299" ref="AL325:AL341">IF(AN325=21,K325,0)</f>
        <v>0</v>
      </c>
      <c r="AN325" s="33">
        <v>21</v>
      </c>
      <c r="AO325" s="33">
        <f aca="true" t="shared" si="300" ref="AO325:AO331">H325*0</f>
        <v>0</v>
      </c>
      <c r="AP325" s="33">
        <f aca="true" t="shared" si="301" ref="AP325:AP331">H325*(1-0)</f>
        <v>0</v>
      </c>
      <c r="AQ325" s="27" t="s">
        <v>10</v>
      </c>
      <c r="AV325" s="33">
        <f aca="true" t="shared" si="302" ref="AV325:AV341">AW325+AX325</f>
        <v>0</v>
      </c>
      <c r="AW325" s="33">
        <f aca="true" t="shared" si="303" ref="AW325:AW341">G325*AO325</f>
        <v>0</v>
      </c>
      <c r="AX325" s="33">
        <f aca="true" t="shared" si="304" ref="AX325:AX341">G325*AP325</f>
        <v>0</v>
      </c>
      <c r="AY325" s="34" t="s">
        <v>992</v>
      </c>
      <c r="AZ325" s="34" t="s">
        <v>1006</v>
      </c>
      <c r="BA325" s="28" t="s">
        <v>1007</v>
      </c>
      <c r="BC325" s="33">
        <f aca="true" t="shared" si="305" ref="BC325:BC341">AW325+AX325</f>
        <v>0</v>
      </c>
      <c r="BD325" s="33">
        <f aca="true" t="shared" si="306" ref="BD325:BD341">H325/(100-BE325)*100</f>
        <v>0</v>
      </c>
      <c r="BE325" s="33">
        <v>0</v>
      </c>
      <c r="BF325" s="33">
        <f>329</f>
        <v>329</v>
      </c>
      <c r="BH325" s="16">
        <f aca="true" t="shared" si="307" ref="BH325:BH341">G325*AO325</f>
        <v>0</v>
      </c>
      <c r="BI325" s="16">
        <f aca="true" t="shared" si="308" ref="BI325:BI341">G325*AP325</f>
        <v>0</v>
      </c>
      <c r="BJ325" s="16">
        <f aca="true" t="shared" si="309" ref="BJ325:BJ341">G325*H325</f>
        <v>0</v>
      </c>
    </row>
    <row r="326" spans="1:62" ht="12.75">
      <c r="A326" s="4" t="s">
        <v>264</v>
      </c>
      <c r="B326" s="4" t="s">
        <v>562</v>
      </c>
      <c r="C326" s="107" t="s">
        <v>870</v>
      </c>
      <c r="D326" s="108"/>
      <c r="E326" s="108"/>
      <c r="F326" s="4" t="s">
        <v>898</v>
      </c>
      <c r="G326" s="16">
        <v>5.9122</v>
      </c>
      <c r="H326" s="16">
        <v>0</v>
      </c>
      <c r="I326" s="16">
        <f t="shared" si="286"/>
        <v>0</v>
      </c>
      <c r="J326" s="16">
        <f t="shared" si="287"/>
        <v>0</v>
      </c>
      <c r="K326" s="16">
        <f t="shared" si="288"/>
        <v>0</v>
      </c>
      <c r="L326" s="27" t="s">
        <v>922</v>
      </c>
      <c r="Z326" s="33">
        <f t="shared" si="289"/>
        <v>0</v>
      </c>
      <c r="AB326" s="33">
        <f t="shared" si="290"/>
        <v>0</v>
      </c>
      <c r="AC326" s="33">
        <f t="shared" si="291"/>
        <v>0</v>
      </c>
      <c r="AD326" s="33">
        <f t="shared" si="292"/>
        <v>0</v>
      </c>
      <c r="AE326" s="33">
        <f t="shared" si="293"/>
        <v>0</v>
      </c>
      <c r="AF326" s="33">
        <f t="shared" si="294"/>
        <v>0</v>
      </c>
      <c r="AG326" s="33">
        <f t="shared" si="295"/>
        <v>0</v>
      </c>
      <c r="AH326" s="33">
        <f t="shared" si="296"/>
        <v>0</v>
      </c>
      <c r="AI326" s="28"/>
      <c r="AJ326" s="16">
        <f t="shared" si="297"/>
        <v>0</v>
      </c>
      <c r="AK326" s="16">
        <f t="shared" si="298"/>
        <v>0</v>
      </c>
      <c r="AL326" s="16">
        <f t="shared" si="299"/>
        <v>0</v>
      </c>
      <c r="AN326" s="33">
        <v>21</v>
      </c>
      <c r="AO326" s="33">
        <f t="shared" si="300"/>
        <v>0</v>
      </c>
      <c r="AP326" s="33">
        <f t="shared" si="301"/>
        <v>0</v>
      </c>
      <c r="AQ326" s="27" t="s">
        <v>10</v>
      </c>
      <c r="AV326" s="33">
        <f t="shared" si="302"/>
        <v>0</v>
      </c>
      <c r="AW326" s="33">
        <f t="shared" si="303"/>
        <v>0</v>
      </c>
      <c r="AX326" s="33">
        <f t="shared" si="304"/>
        <v>0</v>
      </c>
      <c r="AY326" s="34" t="s">
        <v>992</v>
      </c>
      <c r="AZ326" s="34" t="s">
        <v>1006</v>
      </c>
      <c r="BA326" s="28" t="s">
        <v>1007</v>
      </c>
      <c r="BC326" s="33">
        <f t="shared" si="305"/>
        <v>0</v>
      </c>
      <c r="BD326" s="33">
        <f t="shared" si="306"/>
        <v>0</v>
      </c>
      <c r="BE326" s="33">
        <v>0</v>
      </c>
      <c r="BF326" s="33">
        <f>330</f>
        <v>330</v>
      </c>
      <c r="BH326" s="16">
        <f t="shared" si="307"/>
        <v>0</v>
      </c>
      <c r="BI326" s="16">
        <f t="shared" si="308"/>
        <v>0</v>
      </c>
      <c r="BJ326" s="16">
        <f t="shared" si="309"/>
        <v>0</v>
      </c>
    </row>
    <row r="327" spans="1:62" ht="12.75">
      <c r="A327" s="4" t="s">
        <v>265</v>
      </c>
      <c r="B327" s="4" t="s">
        <v>563</v>
      </c>
      <c r="C327" s="107" t="s">
        <v>871</v>
      </c>
      <c r="D327" s="108"/>
      <c r="E327" s="108"/>
      <c r="F327" s="4" t="s">
        <v>898</v>
      </c>
      <c r="G327" s="16">
        <v>5.9122</v>
      </c>
      <c r="H327" s="16">
        <v>0</v>
      </c>
      <c r="I327" s="16">
        <f t="shared" si="286"/>
        <v>0</v>
      </c>
      <c r="J327" s="16">
        <f t="shared" si="287"/>
        <v>0</v>
      </c>
      <c r="K327" s="16">
        <f t="shared" si="288"/>
        <v>0</v>
      </c>
      <c r="L327" s="27" t="s">
        <v>922</v>
      </c>
      <c r="Z327" s="33">
        <f t="shared" si="289"/>
        <v>0</v>
      </c>
      <c r="AB327" s="33">
        <f t="shared" si="290"/>
        <v>0</v>
      </c>
      <c r="AC327" s="33">
        <f t="shared" si="291"/>
        <v>0</v>
      </c>
      <c r="AD327" s="33">
        <f t="shared" si="292"/>
        <v>0</v>
      </c>
      <c r="AE327" s="33">
        <f t="shared" si="293"/>
        <v>0</v>
      </c>
      <c r="AF327" s="33">
        <f t="shared" si="294"/>
        <v>0</v>
      </c>
      <c r="AG327" s="33">
        <f t="shared" si="295"/>
        <v>0</v>
      </c>
      <c r="AH327" s="33">
        <f t="shared" si="296"/>
        <v>0</v>
      </c>
      <c r="AI327" s="28"/>
      <c r="AJ327" s="16">
        <f t="shared" si="297"/>
        <v>0</v>
      </c>
      <c r="AK327" s="16">
        <f t="shared" si="298"/>
        <v>0</v>
      </c>
      <c r="AL327" s="16">
        <f t="shared" si="299"/>
        <v>0</v>
      </c>
      <c r="AN327" s="33">
        <v>21</v>
      </c>
      <c r="AO327" s="33">
        <f t="shared" si="300"/>
        <v>0</v>
      </c>
      <c r="AP327" s="33">
        <f t="shared" si="301"/>
        <v>0</v>
      </c>
      <c r="AQ327" s="27" t="s">
        <v>10</v>
      </c>
      <c r="AV327" s="33">
        <f t="shared" si="302"/>
        <v>0</v>
      </c>
      <c r="AW327" s="33">
        <f t="shared" si="303"/>
        <v>0</v>
      </c>
      <c r="AX327" s="33">
        <f t="shared" si="304"/>
        <v>0</v>
      </c>
      <c r="AY327" s="34" t="s">
        <v>992</v>
      </c>
      <c r="AZ327" s="34" t="s">
        <v>1006</v>
      </c>
      <c r="BA327" s="28" t="s">
        <v>1007</v>
      </c>
      <c r="BC327" s="33">
        <f t="shared" si="305"/>
        <v>0</v>
      </c>
      <c r="BD327" s="33">
        <f t="shared" si="306"/>
        <v>0</v>
      </c>
      <c r="BE327" s="33">
        <v>0</v>
      </c>
      <c r="BF327" s="33">
        <f>331</f>
        <v>331</v>
      </c>
      <c r="BH327" s="16">
        <f t="shared" si="307"/>
        <v>0</v>
      </c>
      <c r="BI327" s="16">
        <f t="shared" si="308"/>
        <v>0</v>
      </c>
      <c r="BJ327" s="16">
        <f t="shared" si="309"/>
        <v>0</v>
      </c>
    </row>
    <row r="328" spans="1:62" ht="12.75">
      <c r="A328" s="4" t="s">
        <v>266</v>
      </c>
      <c r="B328" s="4" t="s">
        <v>564</v>
      </c>
      <c r="C328" s="107" t="s">
        <v>872</v>
      </c>
      <c r="D328" s="108"/>
      <c r="E328" s="108"/>
      <c r="F328" s="4" t="s">
        <v>898</v>
      </c>
      <c r="G328" s="16">
        <v>49.5449</v>
      </c>
      <c r="H328" s="16">
        <v>0</v>
      </c>
      <c r="I328" s="16">
        <f t="shared" si="286"/>
        <v>0</v>
      </c>
      <c r="J328" s="16">
        <f t="shared" si="287"/>
        <v>0</v>
      </c>
      <c r="K328" s="16">
        <f t="shared" si="288"/>
        <v>0</v>
      </c>
      <c r="L328" s="27" t="s">
        <v>922</v>
      </c>
      <c r="Z328" s="33">
        <f t="shared" si="289"/>
        <v>0</v>
      </c>
      <c r="AB328" s="33">
        <f t="shared" si="290"/>
        <v>0</v>
      </c>
      <c r="AC328" s="33">
        <f t="shared" si="291"/>
        <v>0</v>
      </c>
      <c r="AD328" s="33">
        <f t="shared" si="292"/>
        <v>0</v>
      </c>
      <c r="AE328" s="33">
        <f t="shared" si="293"/>
        <v>0</v>
      </c>
      <c r="AF328" s="33">
        <f t="shared" si="294"/>
        <v>0</v>
      </c>
      <c r="AG328" s="33">
        <f t="shared" si="295"/>
        <v>0</v>
      </c>
      <c r="AH328" s="33">
        <f t="shared" si="296"/>
        <v>0</v>
      </c>
      <c r="AI328" s="28"/>
      <c r="AJ328" s="16">
        <f t="shared" si="297"/>
        <v>0</v>
      </c>
      <c r="AK328" s="16">
        <f t="shared" si="298"/>
        <v>0</v>
      </c>
      <c r="AL328" s="16">
        <f t="shared" si="299"/>
        <v>0</v>
      </c>
      <c r="AN328" s="33">
        <v>21</v>
      </c>
      <c r="AO328" s="33">
        <f t="shared" si="300"/>
        <v>0</v>
      </c>
      <c r="AP328" s="33">
        <f t="shared" si="301"/>
        <v>0</v>
      </c>
      <c r="AQ328" s="27" t="s">
        <v>10</v>
      </c>
      <c r="AV328" s="33">
        <f t="shared" si="302"/>
        <v>0</v>
      </c>
      <c r="AW328" s="33">
        <f t="shared" si="303"/>
        <v>0</v>
      </c>
      <c r="AX328" s="33">
        <f t="shared" si="304"/>
        <v>0</v>
      </c>
      <c r="AY328" s="34" t="s">
        <v>992</v>
      </c>
      <c r="AZ328" s="34" t="s">
        <v>1006</v>
      </c>
      <c r="BA328" s="28" t="s">
        <v>1007</v>
      </c>
      <c r="BC328" s="33">
        <f t="shared" si="305"/>
        <v>0</v>
      </c>
      <c r="BD328" s="33">
        <f t="shared" si="306"/>
        <v>0</v>
      </c>
      <c r="BE328" s="33">
        <v>0</v>
      </c>
      <c r="BF328" s="33">
        <f>332</f>
        <v>332</v>
      </c>
      <c r="BH328" s="16">
        <f t="shared" si="307"/>
        <v>0</v>
      </c>
      <c r="BI328" s="16">
        <f t="shared" si="308"/>
        <v>0</v>
      </c>
      <c r="BJ328" s="16">
        <f t="shared" si="309"/>
        <v>0</v>
      </c>
    </row>
    <row r="329" spans="1:62" ht="12.75">
      <c r="A329" s="4" t="s">
        <v>267</v>
      </c>
      <c r="B329" s="4" t="s">
        <v>565</v>
      </c>
      <c r="C329" s="107" t="s">
        <v>873</v>
      </c>
      <c r="D329" s="108"/>
      <c r="E329" s="108"/>
      <c r="F329" s="4" t="s">
        <v>898</v>
      </c>
      <c r="G329" s="16">
        <v>43.4485</v>
      </c>
      <c r="H329" s="16">
        <v>0</v>
      </c>
      <c r="I329" s="16">
        <f t="shared" si="286"/>
        <v>0</v>
      </c>
      <c r="J329" s="16">
        <f t="shared" si="287"/>
        <v>0</v>
      </c>
      <c r="K329" s="16">
        <f t="shared" si="288"/>
        <v>0</v>
      </c>
      <c r="L329" s="27" t="s">
        <v>922</v>
      </c>
      <c r="Z329" s="33">
        <f t="shared" si="289"/>
        <v>0</v>
      </c>
      <c r="AB329" s="33">
        <f t="shared" si="290"/>
        <v>0</v>
      </c>
      <c r="AC329" s="33">
        <f t="shared" si="291"/>
        <v>0</v>
      </c>
      <c r="AD329" s="33">
        <f t="shared" si="292"/>
        <v>0</v>
      </c>
      <c r="AE329" s="33">
        <f t="shared" si="293"/>
        <v>0</v>
      </c>
      <c r="AF329" s="33">
        <f t="shared" si="294"/>
        <v>0</v>
      </c>
      <c r="AG329" s="33">
        <f t="shared" si="295"/>
        <v>0</v>
      </c>
      <c r="AH329" s="33">
        <f t="shared" si="296"/>
        <v>0</v>
      </c>
      <c r="AI329" s="28"/>
      <c r="AJ329" s="16">
        <f t="shared" si="297"/>
        <v>0</v>
      </c>
      <c r="AK329" s="16">
        <f t="shared" si="298"/>
        <v>0</v>
      </c>
      <c r="AL329" s="16">
        <f t="shared" si="299"/>
        <v>0</v>
      </c>
      <c r="AN329" s="33">
        <v>21</v>
      </c>
      <c r="AO329" s="33">
        <f t="shared" si="300"/>
        <v>0</v>
      </c>
      <c r="AP329" s="33">
        <f t="shared" si="301"/>
        <v>0</v>
      </c>
      <c r="AQ329" s="27" t="s">
        <v>10</v>
      </c>
      <c r="AV329" s="33">
        <f t="shared" si="302"/>
        <v>0</v>
      </c>
      <c r="AW329" s="33">
        <f t="shared" si="303"/>
        <v>0</v>
      </c>
      <c r="AX329" s="33">
        <f t="shared" si="304"/>
        <v>0</v>
      </c>
      <c r="AY329" s="34" t="s">
        <v>992</v>
      </c>
      <c r="AZ329" s="34" t="s">
        <v>1006</v>
      </c>
      <c r="BA329" s="28" t="s">
        <v>1007</v>
      </c>
      <c r="BC329" s="33">
        <f t="shared" si="305"/>
        <v>0</v>
      </c>
      <c r="BD329" s="33">
        <f t="shared" si="306"/>
        <v>0</v>
      </c>
      <c r="BE329" s="33">
        <v>0</v>
      </c>
      <c r="BF329" s="33">
        <f>333</f>
        <v>333</v>
      </c>
      <c r="BH329" s="16">
        <f t="shared" si="307"/>
        <v>0</v>
      </c>
      <c r="BI329" s="16">
        <f t="shared" si="308"/>
        <v>0</v>
      </c>
      <c r="BJ329" s="16">
        <f t="shared" si="309"/>
        <v>0</v>
      </c>
    </row>
    <row r="330" spans="1:62" ht="12.75">
      <c r="A330" s="4" t="s">
        <v>268</v>
      </c>
      <c r="B330" s="4" t="s">
        <v>566</v>
      </c>
      <c r="C330" s="107" t="s">
        <v>874</v>
      </c>
      <c r="D330" s="108"/>
      <c r="E330" s="108"/>
      <c r="F330" s="4" t="s">
        <v>898</v>
      </c>
      <c r="G330" s="16">
        <v>5.9122</v>
      </c>
      <c r="H330" s="16">
        <v>0</v>
      </c>
      <c r="I330" s="16">
        <f t="shared" si="286"/>
        <v>0</v>
      </c>
      <c r="J330" s="16">
        <f t="shared" si="287"/>
        <v>0</v>
      </c>
      <c r="K330" s="16">
        <f t="shared" si="288"/>
        <v>0</v>
      </c>
      <c r="L330" s="27" t="s">
        <v>922</v>
      </c>
      <c r="Z330" s="33">
        <f t="shared" si="289"/>
        <v>0</v>
      </c>
      <c r="AB330" s="33">
        <f t="shared" si="290"/>
        <v>0</v>
      </c>
      <c r="AC330" s="33">
        <f t="shared" si="291"/>
        <v>0</v>
      </c>
      <c r="AD330" s="33">
        <f t="shared" si="292"/>
        <v>0</v>
      </c>
      <c r="AE330" s="33">
        <f t="shared" si="293"/>
        <v>0</v>
      </c>
      <c r="AF330" s="33">
        <f t="shared" si="294"/>
        <v>0</v>
      </c>
      <c r="AG330" s="33">
        <f t="shared" si="295"/>
        <v>0</v>
      </c>
      <c r="AH330" s="33">
        <f t="shared" si="296"/>
        <v>0</v>
      </c>
      <c r="AI330" s="28"/>
      <c r="AJ330" s="16">
        <f t="shared" si="297"/>
        <v>0</v>
      </c>
      <c r="AK330" s="16">
        <f t="shared" si="298"/>
        <v>0</v>
      </c>
      <c r="AL330" s="16">
        <f t="shared" si="299"/>
        <v>0</v>
      </c>
      <c r="AN330" s="33">
        <v>21</v>
      </c>
      <c r="AO330" s="33">
        <f t="shared" si="300"/>
        <v>0</v>
      </c>
      <c r="AP330" s="33">
        <f t="shared" si="301"/>
        <v>0</v>
      </c>
      <c r="AQ330" s="27" t="s">
        <v>10</v>
      </c>
      <c r="AV330" s="33">
        <f t="shared" si="302"/>
        <v>0</v>
      </c>
      <c r="AW330" s="33">
        <f t="shared" si="303"/>
        <v>0</v>
      </c>
      <c r="AX330" s="33">
        <f t="shared" si="304"/>
        <v>0</v>
      </c>
      <c r="AY330" s="34" t="s">
        <v>992</v>
      </c>
      <c r="AZ330" s="34" t="s">
        <v>1006</v>
      </c>
      <c r="BA330" s="28" t="s">
        <v>1007</v>
      </c>
      <c r="BC330" s="33">
        <f t="shared" si="305"/>
        <v>0</v>
      </c>
      <c r="BD330" s="33">
        <f t="shared" si="306"/>
        <v>0</v>
      </c>
      <c r="BE330" s="33">
        <v>0</v>
      </c>
      <c r="BF330" s="33">
        <f>334</f>
        <v>334</v>
      </c>
      <c r="BH330" s="16">
        <f t="shared" si="307"/>
        <v>0</v>
      </c>
      <c r="BI330" s="16">
        <f t="shared" si="308"/>
        <v>0</v>
      </c>
      <c r="BJ330" s="16">
        <f t="shared" si="309"/>
        <v>0</v>
      </c>
    </row>
    <row r="331" spans="1:62" ht="12.75">
      <c r="A331" s="4" t="s">
        <v>269</v>
      </c>
      <c r="B331" s="4" t="s">
        <v>567</v>
      </c>
      <c r="C331" s="107" t="s">
        <v>875</v>
      </c>
      <c r="D331" s="108"/>
      <c r="E331" s="108"/>
      <c r="F331" s="4" t="s">
        <v>898</v>
      </c>
      <c r="G331" s="16">
        <v>49.555</v>
      </c>
      <c r="H331" s="16">
        <v>0</v>
      </c>
      <c r="I331" s="16">
        <f t="shared" si="286"/>
        <v>0</v>
      </c>
      <c r="J331" s="16">
        <f t="shared" si="287"/>
        <v>0</v>
      </c>
      <c r="K331" s="16">
        <f t="shared" si="288"/>
        <v>0</v>
      </c>
      <c r="L331" s="27" t="s">
        <v>922</v>
      </c>
      <c r="Z331" s="33">
        <f t="shared" si="289"/>
        <v>0</v>
      </c>
      <c r="AB331" s="33">
        <f t="shared" si="290"/>
        <v>0</v>
      </c>
      <c r="AC331" s="33">
        <f t="shared" si="291"/>
        <v>0</v>
      </c>
      <c r="AD331" s="33">
        <f t="shared" si="292"/>
        <v>0</v>
      </c>
      <c r="AE331" s="33">
        <f t="shared" si="293"/>
        <v>0</v>
      </c>
      <c r="AF331" s="33">
        <f t="shared" si="294"/>
        <v>0</v>
      </c>
      <c r="AG331" s="33">
        <f t="shared" si="295"/>
        <v>0</v>
      </c>
      <c r="AH331" s="33">
        <f t="shared" si="296"/>
        <v>0</v>
      </c>
      <c r="AI331" s="28"/>
      <c r="AJ331" s="16">
        <f t="shared" si="297"/>
        <v>0</v>
      </c>
      <c r="AK331" s="16">
        <f t="shared" si="298"/>
        <v>0</v>
      </c>
      <c r="AL331" s="16">
        <f t="shared" si="299"/>
        <v>0</v>
      </c>
      <c r="AN331" s="33">
        <v>21</v>
      </c>
      <c r="AO331" s="33">
        <f t="shared" si="300"/>
        <v>0</v>
      </c>
      <c r="AP331" s="33">
        <f t="shared" si="301"/>
        <v>0</v>
      </c>
      <c r="AQ331" s="27" t="s">
        <v>10</v>
      </c>
      <c r="AV331" s="33">
        <f t="shared" si="302"/>
        <v>0</v>
      </c>
      <c r="AW331" s="33">
        <f t="shared" si="303"/>
        <v>0</v>
      </c>
      <c r="AX331" s="33">
        <f t="shared" si="304"/>
        <v>0</v>
      </c>
      <c r="AY331" s="34" t="s">
        <v>992</v>
      </c>
      <c r="AZ331" s="34" t="s">
        <v>1006</v>
      </c>
      <c r="BA331" s="28" t="s">
        <v>1007</v>
      </c>
      <c r="BC331" s="33">
        <f t="shared" si="305"/>
        <v>0</v>
      </c>
      <c r="BD331" s="33">
        <f t="shared" si="306"/>
        <v>0</v>
      </c>
      <c r="BE331" s="33">
        <v>0</v>
      </c>
      <c r="BF331" s="33">
        <f>335</f>
        <v>335</v>
      </c>
      <c r="BH331" s="16">
        <f t="shared" si="307"/>
        <v>0</v>
      </c>
      <c r="BI331" s="16">
        <f t="shared" si="308"/>
        <v>0</v>
      </c>
      <c r="BJ331" s="16">
        <f t="shared" si="309"/>
        <v>0</v>
      </c>
    </row>
    <row r="332" spans="1:62" ht="12.75">
      <c r="A332" s="4" t="s">
        <v>270</v>
      </c>
      <c r="B332" s="4" t="s">
        <v>568</v>
      </c>
      <c r="C332" s="107" t="s">
        <v>876</v>
      </c>
      <c r="D332" s="108"/>
      <c r="E332" s="108"/>
      <c r="F332" s="4" t="s">
        <v>898</v>
      </c>
      <c r="G332" s="16">
        <v>43.4485</v>
      </c>
      <c r="H332" s="16">
        <v>0</v>
      </c>
      <c r="I332" s="16">
        <f t="shared" si="286"/>
        <v>0</v>
      </c>
      <c r="J332" s="16">
        <f t="shared" si="287"/>
        <v>0</v>
      </c>
      <c r="K332" s="16">
        <f t="shared" si="288"/>
        <v>0</v>
      </c>
      <c r="L332" s="27" t="s">
        <v>922</v>
      </c>
      <c r="Z332" s="33">
        <f t="shared" si="289"/>
        <v>0</v>
      </c>
      <c r="AB332" s="33">
        <f t="shared" si="290"/>
        <v>0</v>
      </c>
      <c r="AC332" s="33">
        <f t="shared" si="291"/>
        <v>0</v>
      </c>
      <c r="AD332" s="33">
        <f t="shared" si="292"/>
        <v>0</v>
      </c>
      <c r="AE332" s="33">
        <f t="shared" si="293"/>
        <v>0</v>
      </c>
      <c r="AF332" s="33">
        <f t="shared" si="294"/>
        <v>0</v>
      </c>
      <c r="AG332" s="33">
        <f t="shared" si="295"/>
        <v>0</v>
      </c>
      <c r="AH332" s="33">
        <f t="shared" si="296"/>
        <v>0</v>
      </c>
      <c r="AI332" s="28"/>
      <c r="AJ332" s="16">
        <f t="shared" si="297"/>
        <v>0</v>
      </c>
      <c r="AK332" s="16">
        <f t="shared" si="298"/>
        <v>0</v>
      </c>
      <c r="AL332" s="16">
        <f t="shared" si="299"/>
        <v>0</v>
      </c>
      <c r="AN332" s="33">
        <v>21</v>
      </c>
      <c r="AO332" s="33">
        <f>H332*0.00974589156653034</f>
        <v>0</v>
      </c>
      <c r="AP332" s="33">
        <f>H332*(1-0.00974589156653034)</f>
        <v>0</v>
      </c>
      <c r="AQ332" s="27" t="s">
        <v>10</v>
      </c>
      <c r="AV332" s="33">
        <f t="shared" si="302"/>
        <v>0</v>
      </c>
      <c r="AW332" s="33">
        <f t="shared" si="303"/>
        <v>0</v>
      </c>
      <c r="AX332" s="33">
        <f t="shared" si="304"/>
        <v>0</v>
      </c>
      <c r="AY332" s="34" t="s">
        <v>992</v>
      </c>
      <c r="AZ332" s="34" t="s">
        <v>1006</v>
      </c>
      <c r="BA332" s="28" t="s">
        <v>1007</v>
      </c>
      <c r="BC332" s="33">
        <f t="shared" si="305"/>
        <v>0</v>
      </c>
      <c r="BD332" s="33">
        <f t="shared" si="306"/>
        <v>0</v>
      </c>
      <c r="BE332" s="33">
        <v>0</v>
      </c>
      <c r="BF332" s="33">
        <f>336</f>
        <v>336</v>
      </c>
      <c r="BH332" s="16">
        <f t="shared" si="307"/>
        <v>0</v>
      </c>
      <c r="BI332" s="16">
        <f t="shared" si="308"/>
        <v>0</v>
      </c>
      <c r="BJ332" s="16">
        <f t="shared" si="309"/>
        <v>0</v>
      </c>
    </row>
    <row r="333" spans="1:62" ht="12.75">
      <c r="A333" s="4" t="s">
        <v>271</v>
      </c>
      <c r="B333" s="4" t="s">
        <v>569</v>
      </c>
      <c r="C333" s="107" t="s">
        <v>877</v>
      </c>
      <c r="D333" s="108"/>
      <c r="E333" s="108"/>
      <c r="F333" s="4" t="s">
        <v>898</v>
      </c>
      <c r="G333" s="16">
        <v>622.279</v>
      </c>
      <c r="H333" s="16">
        <v>0</v>
      </c>
      <c r="I333" s="16">
        <f t="shared" si="286"/>
        <v>0</v>
      </c>
      <c r="J333" s="16">
        <f t="shared" si="287"/>
        <v>0</v>
      </c>
      <c r="K333" s="16">
        <f t="shared" si="288"/>
        <v>0</v>
      </c>
      <c r="L333" s="27" t="s">
        <v>922</v>
      </c>
      <c r="Z333" s="33">
        <f t="shared" si="289"/>
        <v>0</v>
      </c>
      <c r="AB333" s="33">
        <f t="shared" si="290"/>
        <v>0</v>
      </c>
      <c r="AC333" s="33">
        <f t="shared" si="291"/>
        <v>0</v>
      </c>
      <c r="AD333" s="33">
        <f t="shared" si="292"/>
        <v>0</v>
      </c>
      <c r="AE333" s="33">
        <f t="shared" si="293"/>
        <v>0</v>
      </c>
      <c r="AF333" s="33">
        <f t="shared" si="294"/>
        <v>0</v>
      </c>
      <c r="AG333" s="33">
        <f t="shared" si="295"/>
        <v>0</v>
      </c>
      <c r="AH333" s="33">
        <f t="shared" si="296"/>
        <v>0</v>
      </c>
      <c r="AI333" s="28"/>
      <c r="AJ333" s="16">
        <f t="shared" si="297"/>
        <v>0</v>
      </c>
      <c r="AK333" s="16">
        <f t="shared" si="298"/>
        <v>0</v>
      </c>
      <c r="AL333" s="16">
        <f t="shared" si="299"/>
        <v>0</v>
      </c>
      <c r="AN333" s="33">
        <v>21</v>
      </c>
      <c r="AO333" s="33">
        <f aca="true" t="shared" si="310" ref="AO333:AO341">H333*0</f>
        <v>0</v>
      </c>
      <c r="AP333" s="33">
        <f aca="true" t="shared" si="311" ref="AP333:AP341">H333*(1-0)</f>
        <v>0</v>
      </c>
      <c r="AQ333" s="27" t="s">
        <v>10</v>
      </c>
      <c r="AV333" s="33">
        <f t="shared" si="302"/>
        <v>0</v>
      </c>
      <c r="AW333" s="33">
        <f t="shared" si="303"/>
        <v>0</v>
      </c>
      <c r="AX333" s="33">
        <f t="shared" si="304"/>
        <v>0</v>
      </c>
      <c r="AY333" s="34" t="s">
        <v>992</v>
      </c>
      <c r="AZ333" s="34" t="s">
        <v>1006</v>
      </c>
      <c r="BA333" s="28" t="s">
        <v>1007</v>
      </c>
      <c r="BC333" s="33">
        <f t="shared" si="305"/>
        <v>0</v>
      </c>
      <c r="BD333" s="33">
        <f t="shared" si="306"/>
        <v>0</v>
      </c>
      <c r="BE333" s="33">
        <v>0</v>
      </c>
      <c r="BF333" s="33">
        <f>337</f>
        <v>337</v>
      </c>
      <c r="BH333" s="16">
        <f t="shared" si="307"/>
        <v>0</v>
      </c>
      <c r="BI333" s="16">
        <f t="shared" si="308"/>
        <v>0</v>
      </c>
      <c r="BJ333" s="16">
        <f t="shared" si="309"/>
        <v>0</v>
      </c>
    </row>
    <row r="334" spans="1:62" ht="12.75">
      <c r="A334" s="4" t="s">
        <v>272</v>
      </c>
      <c r="B334" s="4" t="s">
        <v>570</v>
      </c>
      <c r="C334" s="107" t="s">
        <v>878</v>
      </c>
      <c r="D334" s="108"/>
      <c r="E334" s="108"/>
      <c r="F334" s="4" t="s">
        <v>898</v>
      </c>
      <c r="G334" s="16">
        <v>5.9122</v>
      </c>
      <c r="H334" s="16">
        <v>0</v>
      </c>
      <c r="I334" s="16">
        <f t="shared" si="286"/>
        <v>0</v>
      </c>
      <c r="J334" s="16">
        <f t="shared" si="287"/>
        <v>0</v>
      </c>
      <c r="K334" s="16">
        <f t="shared" si="288"/>
        <v>0</v>
      </c>
      <c r="L334" s="27" t="s">
        <v>922</v>
      </c>
      <c r="Z334" s="33">
        <f t="shared" si="289"/>
        <v>0</v>
      </c>
      <c r="AB334" s="33">
        <f t="shared" si="290"/>
        <v>0</v>
      </c>
      <c r="AC334" s="33">
        <f t="shared" si="291"/>
        <v>0</v>
      </c>
      <c r="AD334" s="33">
        <f t="shared" si="292"/>
        <v>0</v>
      </c>
      <c r="AE334" s="33">
        <f t="shared" si="293"/>
        <v>0</v>
      </c>
      <c r="AF334" s="33">
        <f t="shared" si="294"/>
        <v>0</v>
      </c>
      <c r="AG334" s="33">
        <f t="shared" si="295"/>
        <v>0</v>
      </c>
      <c r="AH334" s="33">
        <f t="shared" si="296"/>
        <v>0</v>
      </c>
      <c r="AI334" s="28"/>
      <c r="AJ334" s="16">
        <f t="shared" si="297"/>
        <v>0</v>
      </c>
      <c r="AK334" s="16">
        <f t="shared" si="298"/>
        <v>0</v>
      </c>
      <c r="AL334" s="16">
        <f t="shared" si="299"/>
        <v>0</v>
      </c>
      <c r="AN334" s="33">
        <v>21</v>
      </c>
      <c r="AO334" s="33">
        <f t="shared" si="310"/>
        <v>0</v>
      </c>
      <c r="AP334" s="33">
        <f t="shared" si="311"/>
        <v>0</v>
      </c>
      <c r="AQ334" s="27" t="s">
        <v>10</v>
      </c>
      <c r="AV334" s="33">
        <f t="shared" si="302"/>
        <v>0</v>
      </c>
      <c r="AW334" s="33">
        <f t="shared" si="303"/>
        <v>0</v>
      </c>
      <c r="AX334" s="33">
        <f t="shared" si="304"/>
        <v>0</v>
      </c>
      <c r="AY334" s="34" t="s">
        <v>992</v>
      </c>
      <c r="AZ334" s="34" t="s">
        <v>1006</v>
      </c>
      <c r="BA334" s="28" t="s">
        <v>1007</v>
      </c>
      <c r="BC334" s="33">
        <f t="shared" si="305"/>
        <v>0</v>
      </c>
      <c r="BD334" s="33">
        <f t="shared" si="306"/>
        <v>0</v>
      </c>
      <c r="BE334" s="33">
        <v>0</v>
      </c>
      <c r="BF334" s="33">
        <f>338</f>
        <v>338</v>
      </c>
      <c r="BH334" s="16">
        <f t="shared" si="307"/>
        <v>0</v>
      </c>
      <c r="BI334" s="16">
        <f t="shared" si="308"/>
        <v>0</v>
      </c>
      <c r="BJ334" s="16">
        <f t="shared" si="309"/>
        <v>0</v>
      </c>
    </row>
    <row r="335" spans="1:62" ht="12.75">
      <c r="A335" s="4" t="s">
        <v>273</v>
      </c>
      <c r="B335" s="4" t="s">
        <v>571</v>
      </c>
      <c r="C335" s="107" t="s">
        <v>879</v>
      </c>
      <c r="D335" s="108"/>
      <c r="E335" s="108"/>
      <c r="F335" s="4" t="s">
        <v>898</v>
      </c>
      <c r="G335" s="16">
        <v>88.683</v>
      </c>
      <c r="H335" s="16">
        <v>0</v>
      </c>
      <c r="I335" s="16">
        <f t="shared" si="286"/>
        <v>0</v>
      </c>
      <c r="J335" s="16">
        <f t="shared" si="287"/>
        <v>0</v>
      </c>
      <c r="K335" s="16">
        <f t="shared" si="288"/>
        <v>0</v>
      </c>
      <c r="L335" s="27" t="s">
        <v>922</v>
      </c>
      <c r="Z335" s="33">
        <f t="shared" si="289"/>
        <v>0</v>
      </c>
      <c r="AB335" s="33">
        <f t="shared" si="290"/>
        <v>0</v>
      </c>
      <c r="AC335" s="33">
        <f t="shared" si="291"/>
        <v>0</v>
      </c>
      <c r="AD335" s="33">
        <f t="shared" si="292"/>
        <v>0</v>
      </c>
      <c r="AE335" s="33">
        <f t="shared" si="293"/>
        <v>0</v>
      </c>
      <c r="AF335" s="33">
        <f t="shared" si="294"/>
        <v>0</v>
      </c>
      <c r="AG335" s="33">
        <f t="shared" si="295"/>
        <v>0</v>
      </c>
      <c r="AH335" s="33">
        <f t="shared" si="296"/>
        <v>0</v>
      </c>
      <c r="AI335" s="28"/>
      <c r="AJ335" s="16">
        <f t="shared" si="297"/>
        <v>0</v>
      </c>
      <c r="AK335" s="16">
        <f t="shared" si="298"/>
        <v>0</v>
      </c>
      <c r="AL335" s="16">
        <f t="shared" si="299"/>
        <v>0</v>
      </c>
      <c r="AN335" s="33">
        <v>21</v>
      </c>
      <c r="AO335" s="33">
        <f t="shared" si="310"/>
        <v>0</v>
      </c>
      <c r="AP335" s="33">
        <f t="shared" si="311"/>
        <v>0</v>
      </c>
      <c r="AQ335" s="27" t="s">
        <v>10</v>
      </c>
      <c r="AV335" s="33">
        <f t="shared" si="302"/>
        <v>0</v>
      </c>
      <c r="AW335" s="33">
        <f t="shared" si="303"/>
        <v>0</v>
      </c>
      <c r="AX335" s="33">
        <f t="shared" si="304"/>
        <v>0</v>
      </c>
      <c r="AY335" s="34" t="s">
        <v>992</v>
      </c>
      <c r="AZ335" s="34" t="s">
        <v>1006</v>
      </c>
      <c r="BA335" s="28" t="s">
        <v>1007</v>
      </c>
      <c r="BC335" s="33">
        <f t="shared" si="305"/>
        <v>0</v>
      </c>
      <c r="BD335" s="33">
        <f t="shared" si="306"/>
        <v>0</v>
      </c>
      <c r="BE335" s="33">
        <v>0</v>
      </c>
      <c r="BF335" s="33">
        <f>339</f>
        <v>339</v>
      </c>
      <c r="BH335" s="16">
        <f t="shared" si="307"/>
        <v>0</v>
      </c>
      <c r="BI335" s="16">
        <f t="shared" si="308"/>
        <v>0</v>
      </c>
      <c r="BJ335" s="16">
        <f t="shared" si="309"/>
        <v>0</v>
      </c>
    </row>
    <row r="336" spans="1:62" ht="12.75">
      <c r="A336" s="4" t="s">
        <v>274</v>
      </c>
      <c r="B336" s="4" t="s">
        <v>565</v>
      </c>
      <c r="C336" s="107" t="s">
        <v>880</v>
      </c>
      <c r="D336" s="108"/>
      <c r="E336" s="108"/>
      <c r="F336" s="4" t="s">
        <v>898</v>
      </c>
      <c r="G336" s="16">
        <v>59</v>
      </c>
      <c r="H336" s="16">
        <v>0</v>
      </c>
      <c r="I336" s="16">
        <f t="shared" si="286"/>
        <v>0</v>
      </c>
      <c r="J336" s="16">
        <f t="shared" si="287"/>
        <v>0</v>
      </c>
      <c r="K336" s="16">
        <f t="shared" si="288"/>
        <v>0</v>
      </c>
      <c r="L336" s="27" t="s">
        <v>922</v>
      </c>
      <c r="Z336" s="33">
        <f t="shared" si="289"/>
        <v>0</v>
      </c>
      <c r="AB336" s="33">
        <f t="shared" si="290"/>
        <v>0</v>
      </c>
      <c r="AC336" s="33">
        <f t="shared" si="291"/>
        <v>0</v>
      </c>
      <c r="AD336" s="33">
        <f t="shared" si="292"/>
        <v>0</v>
      </c>
      <c r="AE336" s="33">
        <f t="shared" si="293"/>
        <v>0</v>
      </c>
      <c r="AF336" s="33">
        <f t="shared" si="294"/>
        <v>0</v>
      </c>
      <c r="AG336" s="33">
        <f t="shared" si="295"/>
        <v>0</v>
      </c>
      <c r="AH336" s="33">
        <f t="shared" si="296"/>
        <v>0</v>
      </c>
      <c r="AI336" s="28"/>
      <c r="AJ336" s="16">
        <f t="shared" si="297"/>
        <v>0</v>
      </c>
      <c r="AK336" s="16">
        <f t="shared" si="298"/>
        <v>0</v>
      </c>
      <c r="AL336" s="16">
        <f t="shared" si="299"/>
        <v>0</v>
      </c>
      <c r="AN336" s="33">
        <v>21</v>
      </c>
      <c r="AO336" s="33">
        <f t="shared" si="310"/>
        <v>0</v>
      </c>
      <c r="AP336" s="33">
        <f t="shared" si="311"/>
        <v>0</v>
      </c>
      <c r="AQ336" s="27" t="s">
        <v>10</v>
      </c>
      <c r="AV336" s="33">
        <f t="shared" si="302"/>
        <v>0</v>
      </c>
      <c r="AW336" s="33">
        <f t="shared" si="303"/>
        <v>0</v>
      </c>
      <c r="AX336" s="33">
        <f t="shared" si="304"/>
        <v>0</v>
      </c>
      <c r="AY336" s="34" t="s">
        <v>992</v>
      </c>
      <c r="AZ336" s="34" t="s">
        <v>1006</v>
      </c>
      <c r="BA336" s="28" t="s">
        <v>1007</v>
      </c>
      <c r="BC336" s="33">
        <f t="shared" si="305"/>
        <v>0</v>
      </c>
      <c r="BD336" s="33">
        <f t="shared" si="306"/>
        <v>0</v>
      </c>
      <c r="BE336" s="33">
        <v>0</v>
      </c>
      <c r="BF336" s="33">
        <f>340</f>
        <v>340</v>
      </c>
      <c r="BH336" s="16">
        <f t="shared" si="307"/>
        <v>0</v>
      </c>
      <c r="BI336" s="16">
        <f t="shared" si="308"/>
        <v>0</v>
      </c>
      <c r="BJ336" s="16">
        <f t="shared" si="309"/>
        <v>0</v>
      </c>
    </row>
    <row r="337" spans="1:62" ht="12.75">
      <c r="A337" s="4" t="s">
        <v>275</v>
      </c>
      <c r="B337" s="4" t="s">
        <v>561</v>
      </c>
      <c r="C337" s="107" t="s">
        <v>881</v>
      </c>
      <c r="D337" s="108"/>
      <c r="E337" s="108"/>
      <c r="F337" s="4" t="s">
        <v>898</v>
      </c>
      <c r="G337" s="16">
        <v>91.8</v>
      </c>
      <c r="H337" s="16">
        <v>0</v>
      </c>
      <c r="I337" s="16">
        <f t="shared" si="286"/>
        <v>0</v>
      </c>
      <c r="J337" s="16">
        <f t="shared" si="287"/>
        <v>0</v>
      </c>
      <c r="K337" s="16">
        <f t="shared" si="288"/>
        <v>0</v>
      </c>
      <c r="L337" s="27" t="s">
        <v>922</v>
      </c>
      <c r="Z337" s="33">
        <f t="shared" si="289"/>
        <v>0</v>
      </c>
      <c r="AB337" s="33">
        <f t="shared" si="290"/>
        <v>0</v>
      </c>
      <c r="AC337" s="33">
        <f t="shared" si="291"/>
        <v>0</v>
      </c>
      <c r="AD337" s="33">
        <f t="shared" si="292"/>
        <v>0</v>
      </c>
      <c r="AE337" s="33">
        <f t="shared" si="293"/>
        <v>0</v>
      </c>
      <c r="AF337" s="33">
        <f t="shared" si="294"/>
        <v>0</v>
      </c>
      <c r="AG337" s="33">
        <f t="shared" si="295"/>
        <v>0</v>
      </c>
      <c r="AH337" s="33">
        <f t="shared" si="296"/>
        <v>0</v>
      </c>
      <c r="AI337" s="28"/>
      <c r="AJ337" s="16">
        <f t="shared" si="297"/>
        <v>0</v>
      </c>
      <c r="AK337" s="16">
        <f t="shared" si="298"/>
        <v>0</v>
      </c>
      <c r="AL337" s="16">
        <f t="shared" si="299"/>
        <v>0</v>
      </c>
      <c r="AN337" s="33">
        <v>21</v>
      </c>
      <c r="AO337" s="33">
        <f t="shared" si="310"/>
        <v>0</v>
      </c>
      <c r="AP337" s="33">
        <f t="shared" si="311"/>
        <v>0</v>
      </c>
      <c r="AQ337" s="27" t="s">
        <v>10</v>
      </c>
      <c r="AV337" s="33">
        <f t="shared" si="302"/>
        <v>0</v>
      </c>
      <c r="AW337" s="33">
        <f t="shared" si="303"/>
        <v>0</v>
      </c>
      <c r="AX337" s="33">
        <f t="shared" si="304"/>
        <v>0</v>
      </c>
      <c r="AY337" s="34" t="s">
        <v>992</v>
      </c>
      <c r="AZ337" s="34" t="s">
        <v>1006</v>
      </c>
      <c r="BA337" s="28" t="s">
        <v>1007</v>
      </c>
      <c r="BC337" s="33">
        <f t="shared" si="305"/>
        <v>0</v>
      </c>
      <c r="BD337" s="33">
        <f t="shared" si="306"/>
        <v>0</v>
      </c>
      <c r="BE337" s="33">
        <v>0</v>
      </c>
      <c r="BF337" s="33">
        <f>341</f>
        <v>341</v>
      </c>
      <c r="BH337" s="16">
        <f t="shared" si="307"/>
        <v>0</v>
      </c>
      <c r="BI337" s="16">
        <f t="shared" si="308"/>
        <v>0</v>
      </c>
      <c r="BJ337" s="16">
        <f t="shared" si="309"/>
        <v>0</v>
      </c>
    </row>
    <row r="338" spans="1:62" ht="12.75">
      <c r="A338" s="4" t="s">
        <v>276</v>
      </c>
      <c r="B338" s="4" t="s">
        <v>572</v>
      </c>
      <c r="C338" s="107" t="s">
        <v>882</v>
      </c>
      <c r="D338" s="108"/>
      <c r="E338" s="108"/>
      <c r="F338" s="4" t="s">
        <v>898</v>
      </c>
      <c r="G338" s="16">
        <v>170</v>
      </c>
      <c r="H338" s="16">
        <v>0</v>
      </c>
      <c r="I338" s="16">
        <f t="shared" si="286"/>
        <v>0</v>
      </c>
      <c r="J338" s="16">
        <f t="shared" si="287"/>
        <v>0</v>
      </c>
      <c r="K338" s="16">
        <f t="shared" si="288"/>
        <v>0</v>
      </c>
      <c r="L338" s="27" t="s">
        <v>922</v>
      </c>
      <c r="Z338" s="33">
        <f t="shared" si="289"/>
        <v>0</v>
      </c>
      <c r="AB338" s="33">
        <f t="shared" si="290"/>
        <v>0</v>
      </c>
      <c r="AC338" s="33">
        <f t="shared" si="291"/>
        <v>0</v>
      </c>
      <c r="AD338" s="33">
        <f t="shared" si="292"/>
        <v>0</v>
      </c>
      <c r="AE338" s="33">
        <f t="shared" si="293"/>
        <v>0</v>
      </c>
      <c r="AF338" s="33">
        <f t="shared" si="294"/>
        <v>0</v>
      </c>
      <c r="AG338" s="33">
        <f t="shared" si="295"/>
        <v>0</v>
      </c>
      <c r="AH338" s="33">
        <f t="shared" si="296"/>
        <v>0</v>
      </c>
      <c r="AI338" s="28"/>
      <c r="AJ338" s="16">
        <f t="shared" si="297"/>
        <v>0</v>
      </c>
      <c r="AK338" s="16">
        <f t="shared" si="298"/>
        <v>0</v>
      </c>
      <c r="AL338" s="16">
        <f t="shared" si="299"/>
        <v>0</v>
      </c>
      <c r="AN338" s="33">
        <v>21</v>
      </c>
      <c r="AO338" s="33">
        <f t="shared" si="310"/>
        <v>0</v>
      </c>
      <c r="AP338" s="33">
        <f t="shared" si="311"/>
        <v>0</v>
      </c>
      <c r="AQ338" s="27" t="s">
        <v>10</v>
      </c>
      <c r="AV338" s="33">
        <f t="shared" si="302"/>
        <v>0</v>
      </c>
      <c r="AW338" s="33">
        <f t="shared" si="303"/>
        <v>0</v>
      </c>
      <c r="AX338" s="33">
        <f t="shared" si="304"/>
        <v>0</v>
      </c>
      <c r="AY338" s="34" t="s">
        <v>992</v>
      </c>
      <c r="AZ338" s="34" t="s">
        <v>1006</v>
      </c>
      <c r="BA338" s="28" t="s">
        <v>1007</v>
      </c>
      <c r="BC338" s="33">
        <f t="shared" si="305"/>
        <v>0</v>
      </c>
      <c r="BD338" s="33">
        <f t="shared" si="306"/>
        <v>0</v>
      </c>
      <c r="BE338" s="33">
        <v>0</v>
      </c>
      <c r="BF338" s="33">
        <f>342</f>
        <v>342</v>
      </c>
      <c r="BH338" s="16">
        <f t="shared" si="307"/>
        <v>0</v>
      </c>
      <c r="BI338" s="16">
        <f t="shared" si="308"/>
        <v>0</v>
      </c>
      <c r="BJ338" s="16">
        <f t="shared" si="309"/>
        <v>0</v>
      </c>
    </row>
    <row r="339" spans="1:62" ht="12.75">
      <c r="A339" s="4" t="s">
        <v>277</v>
      </c>
      <c r="B339" s="4" t="s">
        <v>573</v>
      </c>
      <c r="C339" s="107" t="s">
        <v>883</v>
      </c>
      <c r="D339" s="108"/>
      <c r="E339" s="108"/>
      <c r="F339" s="4" t="s">
        <v>898</v>
      </c>
      <c r="G339" s="16">
        <v>170</v>
      </c>
      <c r="H339" s="16">
        <v>0</v>
      </c>
      <c r="I339" s="16">
        <f t="shared" si="286"/>
        <v>0</v>
      </c>
      <c r="J339" s="16">
        <f t="shared" si="287"/>
        <v>0</v>
      </c>
      <c r="K339" s="16">
        <f t="shared" si="288"/>
        <v>0</v>
      </c>
      <c r="L339" s="27" t="s">
        <v>922</v>
      </c>
      <c r="Z339" s="33">
        <f t="shared" si="289"/>
        <v>0</v>
      </c>
      <c r="AB339" s="33">
        <f t="shared" si="290"/>
        <v>0</v>
      </c>
      <c r="AC339" s="33">
        <f t="shared" si="291"/>
        <v>0</v>
      </c>
      <c r="AD339" s="33">
        <f t="shared" si="292"/>
        <v>0</v>
      </c>
      <c r="AE339" s="33">
        <f t="shared" si="293"/>
        <v>0</v>
      </c>
      <c r="AF339" s="33">
        <f t="shared" si="294"/>
        <v>0</v>
      </c>
      <c r="AG339" s="33">
        <f t="shared" si="295"/>
        <v>0</v>
      </c>
      <c r="AH339" s="33">
        <f t="shared" si="296"/>
        <v>0</v>
      </c>
      <c r="AI339" s="28"/>
      <c r="AJ339" s="16">
        <f t="shared" si="297"/>
        <v>0</v>
      </c>
      <c r="AK339" s="16">
        <f t="shared" si="298"/>
        <v>0</v>
      </c>
      <c r="AL339" s="16">
        <f t="shared" si="299"/>
        <v>0</v>
      </c>
      <c r="AN339" s="33">
        <v>21</v>
      </c>
      <c r="AO339" s="33">
        <f t="shared" si="310"/>
        <v>0</v>
      </c>
      <c r="AP339" s="33">
        <f t="shared" si="311"/>
        <v>0</v>
      </c>
      <c r="AQ339" s="27" t="s">
        <v>10</v>
      </c>
      <c r="AV339" s="33">
        <f t="shared" si="302"/>
        <v>0</v>
      </c>
      <c r="AW339" s="33">
        <f t="shared" si="303"/>
        <v>0</v>
      </c>
      <c r="AX339" s="33">
        <f t="shared" si="304"/>
        <v>0</v>
      </c>
      <c r="AY339" s="34" t="s">
        <v>992</v>
      </c>
      <c r="AZ339" s="34" t="s">
        <v>1006</v>
      </c>
      <c r="BA339" s="28" t="s">
        <v>1007</v>
      </c>
      <c r="BC339" s="33">
        <f t="shared" si="305"/>
        <v>0</v>
      </c>
      <c r="BD339" s="33">
        <f t="shared" si="306"/>
        <v>0</v>
      </c>
      <c r="BE339" s="33">
        <v>0</v>
      </c>
      <c r="BF339" s="33">
        <f>343</f>
        <v>343</v>
      </c>
      <c r="BH339" s="16">
        <f t="shared" si="307"/>
        <v>0</v>
      </c>
      <c r="BI339" s="16">
        <f t="shared" si="308"/>
        <v>0</v>
      </c>
      <c r="BJ339" s="16">
        <f t="shared" si="309"/>
        <v>0</v>
      </c>
    </row>
    <row r="340" spans="1:62" ht="12.75">
      <c r="A340" s="4" t="s">
        <v>278</v>
      </c>
      <c r="B340" s="4" t="s">
        <v>574</v>
      </c>
      <c r="C340" s="107" t="s">
        <v>884</v>
      </c>
      <c r="D340" s="108"/>
      <c r="E340" s="108"/>
      <c r="F340" s="4" t="s">
        <v>898</v>
      </c>
      <c r="G340" s="16">
        <v>850</v>
      </c>
      <c r="H340" s="16">
        <v>0</v>
      </c>
      <c r="I340" s="16">
        <f t="shared" si="286"/>
        <v>0</v>
      </c>
      <c r="J340" s="16">
        <f t="shared" si="287"/>
        <v>0</v>
      </c>
      <c r="K340" s="16">
        <f t="shared" si="288"/>
        <v>0</v>
      </c>
      <c r="L340" s="27" t="s">
        <v>922</v>
      </c>
      <c r="Z340" s="33">
        <f t="shared" si="289"/>
        <v>0</v>
      </c>
      <c r="AB340" s="33">
        <f t="shared" si="290"/>
        <v>0</v>
      </c>
      <c r="AC340" s="33">
        <f t="shared" si="291"/>
        <v>0</v>
      </c>
      <c r="AD340" s="33">
        <f t="shared" si="292"/>
        <v>0</v>
      </c>
      <c r="AE340" s="33">
        <f t="shared" si="293"/>
        <v>0</v>
      </c>
      <c r="AF340" s="33">
        <f t="shared" si="294"/>
        <v>0</v>
      </c>
      <c r="AG340" s="33">
        <f t="shared" si="295"/>
        <v>0</v>
      </c>
      <c r="AH340" s="33">
        <f t="shared" si="296"/>
        <v>0</v>
      </c>
      <c r="AI340" s="28"/>
      <c r="AJ340" s="16">
        <f t="shared" si="297"/>
        <v>0</v>
      </c>
      <c r="AK340" s="16">
        <f t="shared" si="298"/>
        <v>0</v>
      </c>
      <c r="AL340" s="16">
        <f t="shared" si="299"/>
        <v>0</v>
      </c>
      <c r="AN340" s="33">
        <v>21</v>
      </c>
      <c r="AO340" s="33">
        <f t="shared" si="310"/>
        <v>0</v>
      </c>
      <c r="AP340" s="33">
        <f t="shared" si="311"/>
        <v>0</v>
      </c>
      <c r="AQ340" s="27" t="s">
        <v>10</v>
      </c>
      <c r="AV340" s="33">
        <f t="shared" si="302"/>
        <v>0</v>
      </c>
      <c r="AW340" s="33">
        <f t="shared" si="303"/>
        <v>0</v>
      </c>
      <c r="AX340" s="33">
        <f t="shared" si="304"/>
        <v>0</v>
      </c>
      <c r="AY340" s="34" t="s">
        <v>992</v>
      </c>
      <c r="AZ340" s="34" t="s">
        <v>1006</v>
      </c>
      <c r="BA340" s="28" t="s">
        <v>1007</v>
      </c>
      <c r="BC340" s="33">
        <f t="shared" si="305"/>
        <v>0</v>
      </c>
      <c r="BD340" s="33">
        <f t="shared" si="306"/>
        <v>0</v>
      </c>
      <c r="BE340" s="33">
        <v>0</v>
      </c>
      <c r="BF340" s="33">
        <f>344</f>
        <v>344</v>
      </c>
      <c r="BH340" s="16">
        <f t="shared" si="307"/>
        <v>0</v>
      </c>
      <c r="BI340" s="16">
        <f t="shared" si="308"/>
        <v>0</v>
      </c>
      <c r="BJ340" s="16">
        <f t="shared" si="309"/>
        <v>0</v>
      </c>
    </row>
    <row r="341" spans="1:62" ht="12.75">
      <c r="A341" s="7" t="s">
        <v>279</v>
      </c>
      <c r="B341" s="7" t="s">
        <v>575</v>
      </c>
      <c r="C341" s="115" t="s">
        <v>885</v>
      </c>
      <c r="D341" s="116"/>
      <c r="E341" s="116"/>
      <c r="F341" s="7" t="s">
        <v>898</v>
      </c>
      <c r="G341" s="18">
        <v>90</v>
      </c>
      <c r="H341" s="18">
        <v>0</v>
      </c>
      <c r="I341" s="18">
        <f t="shared" si="286"/>
        <v>0</v>
      </c>
      <c r="J341" s="18">
        <f t="shared" si="287"/>
        <v>0</v>
      </c>
      <c r="K341" s="18">
        <f t="shared" si="288"/>
        <v>0</v>
      </c>
      <c r="L341" s="30" t="s">
        <v>922</v>
      </c>
      <c r="Z341" s="33">
        <f t="shared" si="289"/>
        <v>0</v>
      </c>
      <c r="AB341" s="33">
        <f t="shared" si="290"/>
        <v>0</v>
      </c>
      <c r="AC341" s="33">
        <f t="shared" si="291"/>
        <v>0</v>
      </c>
      <c r="AD341" s="33">
        <f t="shared" si="292"/>
        <v>0</v>
      </c>
      <c r="AE341" s="33">
        <f t="shared" si="293"/>
        <v>0</v>
      </c>
      <c r="AF341" s="33">
        <f t="shared" si="294"/>
        <v>0</v>
      </c>
      <c r="AG341" s="33">
        <f t="shared" si="295"/>
        <v>0</v>
      </c>
      <c r="AH341" s="33">
        <f t="shared" si="296"/>
        <v>0</v>
      </c>
      <c r="AI341" s="28"/>
      <c r="AJ341" s="16">
        <f t="shared" si="297"/>
        <v>0</v>
      </c>
      <c r="AK341" s="16">
        <f t="shared" si="298"/>
        <v>0</v>
      </c>
      <c r="AL341" s="16">
        <f t="shared" si="299"/>
        <v>0</v>
      </c>
      <c r="AN341" s="33">
        <v>21</v>
      </c>
      <c r="AO341" s="33">
        <f t="shared" si="310"/>
        <v>0</v>
      </c>
      <c r="AP341" s="33">
        <f t="shared" si="311"/>
        <v>0</v>
      </c>
      <c r="AQ341" s="27" t="s">
        <v>10</v>
      </c>
      <c r="AV341" s="33">
        <f t="shared" si="302"/>
        <v>0</v>
      </c>
      <c r="AW341" s="33">
        <f t="shared" si="303"/>
        <v>0</v>
      </c>
      <c r="AX341" s="33">
        <f t="shared" si="304"/>
        <v>0</v>
      </c>
      <c r="AY341" s="34" t="s">
        <v>992</v>
      </c>
      <c r="AZ341" s="34" t="s">
        <v>1006</v>
      </c>
      <c r="BA341" s="28" t="s">
        <v>1007</v>
      </c>
      <c r="BC341" s="33">
        <f t="shared" si="305"/>
        <v>0</v>
      </c>
      <c r="BD341" s="33">
        <f t="shared" si="306"/>
        <v>0</v>
      </c>
      <c r="BE341" s="33">
        <v>0</v>
      </c>
      <c r="BF341" s="33">
        <f>345</f>
        <v>345</v>
      </c>
      <c r="BH341" s="16">
        <f t="shared" si="307"/>
        <v>0</v>
      </c>
      <c r="BI341" s="16">
        <f t="shared" si="308"/>
        <v>0</v>
      </c>
      <c r="BJ341" s="16">
        <f t="shared" si="309"/>
        <v>0</v>
      </c>
    </row>
    <row r="342" spans="1:12" ht="12.75">
      <c r="A342" s="8"/>
      <c r="B342" s="8"/>
      <c r="C342" s="8"/>
      <c r="D342" s="8"/>
      <c r="E342" s="8"/>
      <c r="F342" s="8"/>
      <c r="G342" s="8"/>
      <c r="H342" s="8"/>
      <c r="I342" s="113" t="s">
        <v>916</v>
      </c>
      <c r="J342" s="114"/>
      <c r="K342" s="37">
        <f>K12+K14+K17+K21+K26+K31+K34+K44+K50+K54+K59+K64+K68+K75+K87+K90+K92+K98+K101+K110+K124+K138+K151+K156+K160+K166+K169+K181+K185+K196+K203+K211+K217+K219+K224+K226+K229+K232+K238+K240+K256+K261+K264+K266+K268+K270+K272+K274+K276+K278+K280+K282+K284+K286+K288+K290+K319+K322+K324</f>
        <v>0</v>
      </c>
      <c r="L342" s="8"/>
    </row>
    <row r="343" ht="11.25" customHeight="1">
      <c r="A343" s="9" t="s">
        <v>280</v>
      </c>
    </row>
    <row r="344" spans="1:12" ht="12.75">
      <c r="A344" s="91"/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83"/>
    </row>
  </sheetData>
  <sheetProtection/>
  <mergeCells count="360">
    <mergeCell ref="A344:L344"/>
    <mergeCell ref="C335:E335"/>
    <mergeCell ref="C336:E336"/>
    <mergeCell ref="C337:E337"/>
    <mergeCell ref="C338:E338"/>
    <mergeCell ref="C339:E339"/>
    <mergeCell ref="C340:E340"/>
    <mergeCell ref="C341:E341"/>
    <mergeCell ref="C327:E327"/>
    <mergeCell ref="C328:E328"/>
    <mergeCell ref="C329:E329"/>
    <mergeCell ref="C330:E330"/>
    <mergeCell ref="C331:E331"/>
    <mergeCell ref="I342:J342"/>
    <mergeCell ref="C332:E332"/>
    <mergeCell ref="C333:E333"/>
    <mergeCell ref="C334:E334"/>
    <mergeCell ref="C321:E321"/>
    <mergeCell ref="C322:E322"/>
    <mergeCell ref="C323:E323"/>
    <mergeCell ref="C324:E324"/>
    <mergeCell ref="C325:E325"/>
    <mergeCell ref="C326:E326"/>
    <mergeCell ref="C315:E315"/>
    <mergeCell ref="C316:E316"/>
    <mergeCell ref="C317:E317"/>
    <mergeCell ref="C318:E318"/>
    <mergeCell ref="C319:E319"/>
    <mergeCell ref="C320:E320"/>
    <mergeCell ref="C309:E309"/>
    <mergeCell ref="C310:E310"/>
    <mergeCell ref="C311:E311"/>
    <mergeCell ref="C312:E312"/>
    <mergeCell ref="C313:E313"/>
    <mergeCell ref="C314:E314"/>
    <mergeCell ref="C303:E303"/>
    <mergeCell ref="C304:E304"/>
    <mergeCell ref="C305:E305"/>
    <mergeCell ref="C306:E306"/>
    <mergeCell ref="C307:E307"/>
    <mergeCell ref="C308:E308"/>
    <mergeCell ref="C297:E297"/>
    <mergeCell ref="C298:E298"/>
    <mergeCell ref="C299:E299"/>
    <mergeCell ref="C300:E300"/>
    <mergeCell ref="C301:E301"/>
    <mergeCell ref="C302:E302"/>
    <mergeCell ref="C291:E291"/>
    <mergeCell ref="C292:E292"/>
    <mergeCell ref="C293:E293"/>
    <mergeCell ref="C294:E294"/>
    <mergeCell ref="C295:E295"/>
    <mergeCell ref="C296:E296"/>
    <mergeCell ref="C285:E285"/>
    <mergeCell ref="C286:E286"/>
    <mergeCell ref="C287:E287"/>
    <mergeCell ref="C288:E288"/>
    <mergeCell ref="C289:E289"/>
    <mergeCell ref="C290:E290"/>
    <mergeCell ref="C279:E279"/>
    <mergeCell ref="C280:E280"/>
    <mergeCell ref="C281:E281"/>
    <mergeCell ref="C282:E282"/>
    <mergeCell ref="C283:E283"/>
    <mergeCell ref="C284:E284"/>
    <mergeCell ref="C273:E273"/>
    <mergeCell ref="C274:E274"/>
    <mergeCell ref="C275:E275"/>
    <mergeCell ref="C276:E276"/>
    <mergeCell ref="C277:E277"/>
    <mergeCell ref="C278:E278"/>
    <mergeCell ref="C267:E267"/>
    <mergeCell ref="C268:E268"/>
    <mergeCell ref="C269:E269"/>
    <mergeCell ref="C270:E270"/>
    <mergeCell ref="C271:E271"/>
    <mergeCell ref="C272:E272"/>
    <mergeCell ref="C261:E261"/>
    <mergeCell ref="C262:E262"/>
    <mergeCell ref="C263:E263"/>
    <mergeCell ref="C264:E264"/>
    <mergeCell ref="C265:E265"/>
    <mergeCell ref="C266:E266"/>
    <mergeCell ref="C255:E255"/>
    <mergeCell ref="C256:E256"/>
    <mergeCell ref="C257:E257"/>
    <mergeCell ref="C258:E258"/>
    <mergeCell ref="C259:E259"/>
    <mergeCell ref="C260:E260"/>
    <mergeCell ref="C249:E249"/>
    <mergeCell ref="C250:E250"/>
    <mergeCell ref="C251:E251"/>
    <mergeCell ref="C252:E252"/>
    <mergeCell ref="C253:E253"/>
    <mergeCell ref="C254:E254"/>
    <mergeCell ref="C243:E243"/>
    <mergeCell ref="C244:E244"/>
    <mergeCell ref="C245:E245"/>
    <mergeCell ref="C246:E246"/>
    <mergeCell ref="C247:E247"/>
    <mergeCell ref="C248:E248"/>
    <mergeCell ref="C237:E237"/>
    <mergeCell ref="C238:E238"/>
    <mergeCell ref="C239:E239"/>
    <mergeCell ref="C240:E240"/>
    <mergeCell ref="C241:E241"/>
    <mergeCell ref="C242:E242"/>
    <mergeCell ref="C231:E231"/>
    <mergeCell ref="C232:E232"/>
    <mergeCell ref="C233:E233"/>
    <mergeCell ref="C234:E234"/>
    <mergeCell ref="C235:E235"/>
    <mergeCell ref="C236:E236"/>
    <mergeCell ref="C225:E225"/>
    <mergeCell ref="C226:E226"/>
    <mergeCell ref="C227:E227"/>
    <mergeCell ref="C228:E228"/>
    <mergeCell ref="C229:E229"/>
    <mergeCell ref="C230:E230"/>
    <mergeCell ref="C219:E219"/>
    <mergeCell ref="C220:E220"/>
    <mergeCell ref="C221:E221"/>
    <mergeCell ref="C222:E222"/>
    <mergeCell ref="C223:E223"/>
    <mergeCell ref="C224:E224"/>
    <mergeCell ref="C213:E213"/>
    <mergeCell ref="C214:E214"/>
    <mergeCell ref="C215:E215"/>
    <mergeCell ref="C216:E216"/>
    <mergeCell ref="C217:E217"/>
    <mergeCell ref="C218:E218"/>
    <mergeCell ref="C207:E207"/>
    <mergeCell ref="C208:E208"/>
    <mergeCell ref="C209:E209"/>
    <mergeCell ref="C210:E210"/>
    <mergeCell ref="C211:E211"/>
    <mergeCell ref="C212:E212"/>
    <mergeCell ref="C201:E201"/>
    <mergeCell ref="C202:E202"/>
    <mergeCell ref="C203:E203"/>
    <mergeCell ref="C204:E204"/>
    <mergeCell ref="C205:E205"/>
    <mergeCell ref="C206:E206"/>
    <mergeCell ref="C195:E195"/>
    <mergeCell ref="C196:E196"/>
    <mergeCell ref="C197:E197"/>
    <mergeCell ref="C198:E198"/>
    <mergeCell ref="C199:E199"/>
    <mergeCell ref="C200:E200"/>
    <mergeCell ref="C189:E189"/>
    <mergeCell ref="C190:E190"/>
    <mergeCell ref="C191:E191"/>
    <mergeCell ref="C192:E192"/>
    <mergeCell ref="C193:E193"/>
    <mergeCell ref="C194:E194"/>
    <mergeCell ref="C183:E183"/>
    <mergeCell ref="C184:E184"/>
    <mergeCell ref="C185:E185"/>
    <mergeCell ref="C186:E186"/>
    <mergeCell ref="C187:E187"/>
    <mergeCell ref="C188:E188"/>
    <mergeCell ref="C177:E177"/>
    <mergeCell ref="C178:E178"/>
    <mergeCell ref="C179:E179"/>
    <mergeCell ref="C180:E180"/>
    <mergeCell ref="C181:E181"/>
    <mergeCell ref="C182:E182"/>
    <mergeCell ref="C171:E171"/>
    <mergeCell ref="C172:E172"/>
    <mergeCell ref="C173:E173"/>
    <mergeCell ref="C174:E174"/>
    <mergeCell ref="C175:E175"/>
    <mergeCell ref="C176:E176"/>
    <mergeCell ref="C165:E165"/>
    <mergeCell ref="C166:E166"/>
    <mergeCell ref="C167:E167"/>
    <mergeCell ref="C168:E168"/>
    <mergeCell ref="C169:E169"/>
    <mergeCell ref="C170:E170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C150:E150"/>
    <mergeCell ref="C151:E151"/>
    <mergeCell ref="C152:E152"/>
    <mergeCell ref="C141:E141"/>
    <mergeCell ref="C142:E142"/>
    <mergeCell ref="C143:E143"/>
    <mergeCell ref="C144:E144"/>
    <mergeCell ref="C145:E145"/>
    <mergeCell ref="C146:E146"/>
    <mergeCell ref="C135:E135"/>
    <mergeCell ref="C136:E136"/>
    <mergeCell ref="C137:E137"/>
    <mergeCell ref="C138:E138"/>
    <mergeCell ref="C139:E139"/>
    <mergeCell ref="C140:E140"/>
    <mergeCell ref="C129:E129"/>
    <mergeCell ref="C130:E130"/>
    <mergeCell ref="C131:E131"/>
    <mergeCell ref="C132:E132"/>
    <mergeCell ref="C133:E133"/>
    <mergeCell ref="C134:E134"/>
    <mergeCell ref="C123:E123"/>
    <mergeCell ref="C124:E124"/>
    <mergeCell ref="C125:E125"/>
    <mergeCell ref="C126:E126"/>
    <mergeCell ref="C127:E127"/>
    <mergeCell ref="C128:E128"/>
    <mergeCell ref="C117:E117"/>
    <mergeCell ref="C118:E118"/>
    <mergeCell ref="C119:E119"/>
    <mergeCell ref="C120:E120"/>
    <mergeCell ref="C121:E121"/>
    <mergeCell ref="C122:E122"/>
    <mergeCell ref="C111:E111"/>
    <mergeCell ref="C112:E112"/>
    <mergeCell ref="C113:E113"/>
    <mergeCell ref="C114:E114"/>
    <mergeCell ref="C115:E115"/>
    <mergeCell ref="C116:E116"/>
    <mergeCell ref="C105:E105"/>
    <mergeCell ref="C106:E106"/>
    <mergeCell ref="C107:E107"/>
    <mergeCell ref="C108:E108"/>
    <mergeCell ref="C109:E109"/>
    <mergeCell ref="C110:E110"/>
    <mergeCell ref="C99:E99"/>
    <mergeCell ref="C100:E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E97"/>
    <mergeCell ref="C98:E98"/>
    <mergeCell ref="C87:E87"/>
    <mergeCell ref="C88:E88"/>
    <mergeCell ref="C89:E89"/>
    <mergeCell ref="C90:E90"/>
    <mergeCell ref="C91:E91"/>
    <mergeCell ref="C92:E92"/>
    <mergeCell ref="C81:E81"/>
    <mergeCell ref="C82:E82"/>
    <mergeCell ref="C83:E83"/>
    <mergeCell ref="C84:E84"/>
    <mergeCell ref="C85:E85"/>
    <mergeCell ref="C86:E86"/>
    <mergeCell ref="C75:E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E74"/>
    <mergeCell ref="C63:E63"/>
    <mergeCell ref="C64:E64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  <mergeCell ref="C10:E10"/>
    <mergeCell ref="I10:K10"/>
    <mergeCell ref="C11:E11"/>
    <mergeCell ref="C12:E12"/>
    <mergeCell ref="C13:E13"/>
    <mergeCell ref="C14:E14"/>
    <mergeCell ref="A8:B9"/>
    <mergeCell ref="C8:C9"/>
    <mergeCell ref="D8:E9"/>
    <mergeCell ref="F8:G9"/>
    <mergeCell ref="H8:H9"/>
    <mergeCell ref="I8:L9"/>
    <mergeCell ref="A6:B7"/>
    <mergeCell ref="C6:C7"/>
    <mergeCell ref="D6:E7"/>
    <mergeCell ref="F6:G7"/>
    <mergeCell ref="H6:H7"/>
    <mergeCell ref="I6:L7"/>
    <mergeCell ref="A4:B5"/>
    <mergeCell ref="C4:C5"/>
    <mergeCell ref="D4:E5"/>
    <mergeCell ref="F4:G5"/>
    <mergeCell ref="H4:H5"/>
    <mergeCell ref="I4:L5"/>
    <mergeCell ref="A1:L1"/>
    <mergeCell ref="A2:B3"/>
    <mergeCell ref="C2:C3"/>
    <mergeCell ref="D2:E3"/>
    <mergeCell ref="F2:G3"/>
    <mergeCell ref="H2:H3"/>
    <mergeCell ref="I2:L3"/>
  </mergeCells>
  <printOptions/>
  <pageMargins left="0.394" right="0.394" top="0.591" bottom="0.591" header="0.5" footer="0.5"/>
  <pageSetup fitToHeight="0" fitToWidth="1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PageLayoutView="0" workbookViewId="0" topLeftCell="A1">
      <pane ySplit="10" topLeftCell="A50" activePane="bottomLeft" state="frozen"/>
      <selection pane="topLeft" activeCell="A1" sqref="A1"/>
      <selection pane="bottomLeft" activeCell="E54" sqref="E54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11.57421875" style="0" customWidth="1"/>
    <col min="5" max="5" width="22.140625" style="0" customWidth="1"/>
    <col min="6" max="6" width="21.00390625" style="0" customWidth="1"/>
    <col min="7" max="7" width="20.8515625" style="0" customWidth="1"/>
    <col min="8" max="9" width="0" style="0" hidden="1" customWidth="1"/>
  </cols>
  <sheetData>
    <row r="1" spans="1:7" ht="72.75" customHeight="1">
      <c r="A1" s="78" t="s">
        <v>1011</v>
      </c>
      <c r="B1" s="79"/>
      <c r="C1" s="79"/>
      <c r="D1" s="79"/>
      <c r="E1" s="79"/>
      <c r="F1" s="79"/>
      <c r="G1" s="79"/>
    </row>
    <row r="2" spans="1:8" ht="12.75">
      <c r="A2" s="80" t="s">
        <v>1</v>
      </c>
      <c r="B2" s="84" t="str">
        <f>'Stavební rozpočet'!C2</f>
        <v>Přístavba polytechnické dílny - ZŠ Grafická</v>
      </c>
      <c r="C2" s="114"/>
      <c r="D2" s="87" t="s">
        <v>904</v>
      </c>
      <c r="E2" s="87" t="str">
        <f>'Stavební rozpočet'!I2</f>
        <v>Atelier H3T architekti, s.r.o.</v>
      </c>
      <c r="F2" s="81"/>
      <c r="G2" s="88"/>
      <c r="H2" s="31"/>
    </row>
    <row r="3" spans="1:8" ht="12.75">
      <c r="A3" s="82"/>
      <c r="B3" s="85"/>
      <c r="C3" s="85"/>
      <c r="D3" s="83"/>
      <c r="E3" s="83"/>
      <c r="F3" s="83"/>
      <c r="G3" s="89"/>
      <c r="H3" s="31"/>
    </row>
    <row r="4" spans="1:8" ht="12.75">
      <c r="A4" s="90" t="s">
        <v>2</v>
      </c>
      <c r="B4" s="91" t="str">
        <f>'Stavební rozpočet'!C4</f>
        <v>Dílna</v>
      </c>
      <c r="C4" s="83"/>
      <c r="D4" s="91" t="s">
        <v>905</v>
      </c>
      <c r="E4" s="91" t="str">
        <f>'Stavební rozpočet'!I4</f>
        <v>Atelier H3T architekti,s.r.o., Nám.Česk.povstání 2</v>
      </c>
      <c r="F4" s="83"/>
      <c r="G4" s="89"/>
      <c r="H4" s="31"/>
    </row>
    <row r="5" spans="1:8" ht="12.75">
      <c r="A5" s="82"/>
      <c r="B5" s="83"/>
      <c r="C5" s="83"/>
      <c r="D5" s="83"/>
      <c r="E5" s="83"/>
      <c r="F5" s="83"/>
      <c r="G5" s="89"/>
      <c r="H5" s="31"/>
    </row>
    <row r="6" spans="1:8" ht="12.75">
      <c r="A6" s="90" t="s">
        <v>3</v>
      </c>
      <c r="B6" s="91" t="str">
        <f>'Stavební rozpočet'!C6</f>
        <v>ZŠ Grafická č. 1060/13, Praha 5 - Smíchov</v>
      </c>
      <c r="C6" s="83"/>
      <c r="D6" s="91" t="s">
        <v>906</v>
      </c>
      <c r="E6" s="91" t="str">
        <f>'Stavební rozpočet'!I6</f>
        <v> </v>
      </c>
      <c r="F6" s="83"/>
      <c r="G6" s="89"/>
      <c r="H6" s="31"/>
    </row>
    <row r="7" spans="1:8" ht="12.75">
      <c r="A7" s="82"/>
      <c r="B7" s="83"/>
      <c r="C7" s="83"/>
      <c r="D7" s="83"/>
      <c r="E7" s="83"/>
      <c r="F7" s="83"/>
      <c r="G7" s="89"/>
      <c r="H7" s="31"/>
    </row>
    <row r="8" spans="1:8" ht="12.75">
      <c r="A8" s="90" t="s">
        <v>907</v>
      </c>
      <c r="B8" s="91" t="str">
        <f>'Stavební rozpočet'!I8</f>
        <v>Ing. Petr FILIP</v>
      </c>
      <c r="C8" s="83"/>
      <c r="D8" s="92" t="s">
        <v>889</v>
      </c>
      <c r="E8" s="91" t="str">
        <f>'Stavební rozpočet'!F8</f>
        <v>21.09.2020</v>
      </c>
      <c r="F8" s="83"/>
      <c r="G8" s="89"/>
      <c r="H8" s="31"/>
    </row>
    <row r="9" spans="1:8" ht="12.75">
      <c r="A9" s="93"/>
      <c r="B9" s="94"/>
      <c r="C9" s="94"/>
      <c r="D9" s="94"/>
      <c r="E9" s="94"/>
      <c r="F9" s="94"/>
      <c r="G9" s="95"/>
      <c r="H9" s="31"/>
    </row>
    <row r="10" spans="1:8" ht="12.75">
      <c r="A10" s="38" t="s">
        <v>1012</v>
      </c>
      <c r="B10" s="40" t="s">
        <v>281</v>
      </c>
      <c r="C10" s="117" t="s">
        <v>579</v>
      </c>
      <c r="D10" s="118"/>
      <c r="E10" s="41" t="s">
        <v>1013</v>
      </c>
      <c r="F10" s="41" t="s">
        <v>1014</v>
      </c>
      <c r="G10" s="41" t="s">
        <v>1015</v>
      </c>
      <c r="H10" s="31"/>
    </row>
    <row r="11" spans="1:9" ht="12.75">
      <c r="A11" s="39"/>
      <c r="B11" s="39" t="s">
        <v>282</v>
      </c>
      <c r="C11" s="119" t="s">
        <v>581</v>
      </c>
      <c r="D11" s="120"/>
      <c r="E11" s="43">
        <f>'Stavební rozpočet'!I12</f>
        <v>0</v>
      </c>
      <c r="F11" s="43">
        <f>'Stavební rozpočet'!J12</f>
        <v>0</v>
      </c>
      <c r="G11" s="43">
        <f>'Stavební rozpočet'!K12</f>
        <v>0</v>
      </c>
      <c r="H11" s="33" t="s">
        <v>1016</v>
      </c>
      <c r="I11" s="33">
        <f aca="true" t="shared" si="0" ref="I11:I42">IF(H11="F",0,G11)</f>
        <v>0</v>
      </c>
    </row>
    <row r="12" spans="1:9" ht="12.75">
      <c r="A12" s="14"/>
      <c r="B12" s="14" t="s">
        <v>104</v>
      </c>
      <c r="C12" s="92" t="s">
        <v>583</v>
      </c>
      <c r="D12" s="83"/>
      <c r="E12" s="33">
        <f>'Stavební rozpočet'!I14</f>
        <v>0</v>
      </c>
      <c r="F12" s="33">
        <f>'Stavební rozpočet'!J14</f>
        <v>0</v>
      </c>
      <c r="G12" s="33">
        <f>'Stavební rozpočet'!K14</f>
        <v>0</v>
      </c>
      <c r="H12" s="33" t="s">
        <v>1016</v>
      </c>
      <c r="I12" s="33">
        <f t="shared" si="0"/>
        <v>0</v>
      </c>
    </row>
    <row r="13" spans="1:9" ht="12.75">
      <c r="A13" s="14"/>
      <c r="B13" s="14" t="s">
        <v>16</v>
      </c>
      <c r="C13" s="92" t="s">
        <v>586</v>
      </c>
      <c r="D13" s="83"/>
      <c r="E13" s="33">
        <f>'Stavební rozpočet'!I17</f>
        <v>0</v>
      </c>
      <c r="F13" s="33">
        <f>'Stavební rozpočet'!J17</f>
        <v>0</v>
      </c>
      <c r="G13" s="33">
        <f>'Stavební rozpočet'!K17</f>
        <v>0</v>
      </c>
      <c r="H13" s="33" t="s">
        <v>1016</v>
      </c>
      <c r="I13" s="33">
        <f t="shared" si="0"/>
        <v>0</v>
      </c>
    </row>
    <row r="14" spans="1:9" ht="12.75">
      <c r="A14" s="14"/>
      <c r="B14" s="14" t="s">
        <v>17</v>
      </c>
      <c r="C14" s="92" t="s">
        <v>590</v>
      </c>
      <c r="D14" s="83"/>
      <c r="E14" s="33">
        <f>'Stavební rozpočet'!I21</f>
        <v>0</v>
      </c>
      <c r="F14" s="33">
        <f>'Stavební rozpočet'!J21</f>
        <v>0</v>
      </c>
      <c r="G14" s="33">
        <f>'Stavební rozpočet'!K21</f>
        <v>0</v>
      </c>
      <c r="H14" s="33" t="s">
        <v>1016</v>
      </c>
      <c r="I14" s="33">
        <f t="shared" si="0"/>
        <v>0</v>
      </c>
    </row>
    <row r="15" spans="1:9" ht="12.75">
      <c r="A15" s="14"/>
      <c r="B15" s="14" t="s">
        <v>20</v>
      </c>
      <c r="C15" s="92" t="s">
        <v>594</v>
      </c>
      <c r="D15" s="83"/>
      <c r="E15" s="33">
        <f>'Stavební rozpočet'!I26</f>
        <v>0</v>
      </c>
      <c r="F15" s="33">
        <f>'Stavební rozpočet'!J26</f>
        <v>0</v>
      </c>
      <c r="G15" s="33">
        <f>'Stavební rozpočet'!K26</f>
        <v>0</v>
      </c>
      <c r="H15" s="33" t="s">
        <v>1016</v>
      </c>
      <c r="I15" s="33">
        <f t="shared" si="0"/>
        <v>0</v>
      </c>
    </row>
    <row r="16" spans="1:9" ht="12.75">
      <c r="A16" s="14"/>
      <c r="B16" s="14" t="s">
        <v>21</v>
      </c>
      <c r="C16" s="92" t="s">
        <v>599</v>
      </c>
      <c r="D16" s="83"/>
      <c r="E16" s="33">
        <f>'Stavební rozpočet'!I31</f>
        <v>0</v>
      </c>
      <c r="F16" s="33">
        <f>'Stavební rozpočet'!J31</f>
        <v>0</v>
      </c>
      <c r="G16" s="33">
        <f>'Stavební rozpočet'!K31</f>
        <v>0</v>
      </c>
      <c r="H16" s="33" t="s">
        <v>1016</v>
      </c>
      <c r="I16" s="33">
        <f t="shared" si="0"/>
        <v>0</v>
      </c>
    </row>
    <row r="17" spans="1:9" ht="12.75">
      <c r="A17" s="14"/>
      <c r="B17" s="14" t="s">
        <v>31</v>
      </c>
      <c r="C17" s="92" t="s">
        <v>602</v>
      </c>
      <c r="D17" s="83"/>
      <c r="E17" s="33">
        <f>'Stavební rozpočet'!I34</f>
        <v>0</v>
      </c>
      <c r="F17" s="33">
        <f>'Stavební rozpočet'!J34</f>
        <v>0</v>
      </c>
      <c r="G17" s="33">
        <f>'Stavební rozpočet'!K34</f>
        <v>0</v>
      </c>
      <c r="H17" s="33" t="s">
        <v>1016</v>
      </c>
      <c r="I17" s="33">
        <f t="shared" si="0"/>
        <v>0</v>
      </c>
    </row>
    <row r="18" spans="1:9" ht="12.75">
      <c r="A18" s="14"/>
      <c r="B18" s="14" t="s">
        <v>35</v>
      </c>
      <c r="C18" s="92" t="s">
        <v>612</v>
      </c>
      <c r="D18" s="83"/>
      <c r="E18" s="33">
        <f>'Stavební rozpočet'!I44</f>
        <v>0</v>
      </c>
      <c r="F18" s="33">
        <f>'Stavební rozpočet'!J44</f>
        <v>0</v>
      </c>
      <c r="G18" s="33">
        <f>'Stavební rozpočet'!K44</f>
        <v>0</v>
      </c>
      <c r="H18" s="33" t="s">
        <v>1016</v>
      </c>
      <c r="I18" s="33">
        <f t="shared" si="0"/>
        <v>0</v>
      </c>
    </row>
    <row r="19" spans="1:9" ht="12.75">
      <c r="A19" s="14"/>
      <c r="B19" s="14" t="s">
        <v>38</v>
      </c>
      <c r="C19" s="92" t="s">
        <v>618</v>
      </c>
      <c r="D19" s="83"/>
      <c r="E19" s="33">
        <f>'Stavební rozpočet'!I50</f>
        <v>0</v>
      </c>
      <c r="F19" s="33">
        <f>'Stavební rozpočet'!J50</f>
        <v>0</v>
      </c>
      <c r="G19" s="33">
        <f>'Stavební rozpočet'!K50</f>
        <v>0</v>
      </c>
      <c r="H19" s="33" t="s">
        <v>1016</v>
      </c>
      <c r="I19" s="33">
        <f t="shared" si="0"/>
        <v>0</v>
      </c>
    </row>
    <row r="20" spans="1:9" ht="12.75">
      <c r="A20" s="14"/>
      <c r="B20" s="14" t="s">
        <v>45</v>
      </c>
      <c r="C20" s="92" t="s">
        <v>622</v>
      </c>
      <c r="D20" s="83"/>
      <c r="E20" s="33">
        <f>'Stavební rozpočet'!I54</f>
        <v>0</v>
      </c>
      <c r="F20" s="33">
        <f>'Stavební rozpočet'!J54</f>
        <v>0</v>
      </c>
      <c r="G20" s="33">
        <f>'Stavební rozpočet'!K54</f>
        <v>0</v>
      </c>
      <c r="H20" s="33" t="s">
        <v>1016</v>
      </c>
      <c r="I20" s="33">
        <f t="shared" si="0"/>
        <v>0</v>
      </c>
    </row>
    <row r="21" spans="1:9" ht="12.75">
      <c r="A21" s="14"/>
      <c r="B21" s="14" t="s">
        <v>60</v>
      </c>
      <c r="C21" s="92" t="s">
        <v>627</v>
      </c>
      <c r="D21" s="83"/>
      <c r="E21" s="33">
        <f>'Stavební rozpočet'!I59</f>
        <v>0</v>
      </c>
      <c r="F21" s="33">
        <f>'Stavební rozpočet'!J59</f>
        <v>0</v>
      </c>
      <c r="G21" s="33">
        <f>'Stavební rozpočet'!K59</f>
        <v>0</v>
      </c>
      <c r="H21" s="33" t="s">
        <v>1016</v>
      </c>
      <c r="I21" s="33">
        <f t="shared" si="0"/>
        <v>0</v>
      </c>
    </row>
    <row r="22" spans="1:9" ht="12.75">
      <c r="A22" s="14"/>
      <c r="B22" s="14" t="s">
        <v>63</v>
      </c>
      <c r="C22" s="92" t="s">
        <v>632</v>
      </c>
      <c r="D22" s="83"/>
      <c r="E22" s="33">
        <f>'Stavební rozpočet'!I64</f>
        <v>0</v>
      </c>
      <c r="F22" s="33">
        <f>'Stavební rozpočet'!J64</f>
        <v>0</v>
      </c>
      <c r="G22" s="33">
        <f>'Stavební rozpočet'!K64</f>
        <v>0</v>
      </c>
      <c r="H22" s="33" t="s">
        <v>1016</v>
      </c>
      <c r="I22" s="33">
        <f t="shared" si="0"/>
        <v>0</v>
      </c>
    </row>
    <row r="23" spans="1:9" ht="12.75">
      <c r="A23" s="14"/>
      <c r="B23" s="14" t="s">
        <v>65</v>
      </c>
      <c r="C23" s="92" t="s">
        <v>635</v>
      </c>
      <c r="D23" s="83"/>
      <c r="E23" s="33">
        <f>'Stavební rozpočet'!I68</f>
        <v>0</v>
      </c>
      <c r="F23" s="33">
        <f>'Stavební rozpočet'!J68</f>
        <v>0</v>
      </c>
      <c r="G23" s="33">
        <f>'Stavební rozpočet'!K68</f>
        <v>0</v>
      </c>
      <c r="H23" s="33" t="s">
        <v>1016</v>
      </c>
      <c r="I23" s="33">
        <f t="shared" si="0"/>
        <v>0</v>
      </c>
    </row>
    <row r="24" spans="1:9" ht="12.75">
      <c r="A24" s="14"/>
      <c r="B24" s="14" t="s">
        <v>66</v>
      </c>
      <c r="C24" s="92" t="s">
        <v>642</v>
      </c>
      <c r="D24" s="83"/>
      <c r="E24" s="33">
        <f>'Stavební rozpočet'!I75</f>
        <v>0</v>
      </c>
      <c r="F24" s="33">
        <f>'Stavební rozpočet'!J75</f>
        <v>0</v>
      </c>
      <c r="G24" s="33">
        <f>'Stavební rozpočet'!K75</f>
        <v>0</v>
      </c>
      <c r="H24" s="33" t="s">
        <v>1016</v>
      </c>
      <c r="I24" s="33">
        <f t="shared" si="0"/>
        <v>0</v>
      </c>
    </row>
    <row r="25" spans="1:9" ht="12.75">
      <c r="A25" s="14"/>
      <c r="B25" s="14" t="s">
        <v>67</v>
      </c>
      <c r="C25" s="92" t="s">
        <v>654</v>
      </c>
      <c r="D25" s="83"/>
      <c r="E25" s="33">
        <f>'Stavební rozpočet'!I87</f>
        <v>0</v>
      </c>
      <c r="F25" s="33">
        <f>'Stavební rozpočet'!J87</f>
        <v>0</v>
      </c>
      <c r="G25" s="33">
        <f>'Stavební rozpočet'!K87</f>
        <v>0</v>
      </c>
      <c r="H25" s="33" t="s">
        <v>1016</v>
      </c>
      <c r="I25" s="33">
        <f t="shared" si="0"/>
        <v>0</v>
      </c>
    </row>
    <row r="26" spans="1:9" ht="12.75">
      <c r="A26" s="14"/>
      <c r="B26" s="14" t="s">
        <v>68</v>
      </c>
      <c r="C26" s="92" t="s">
        <v>657</v>
      </c>
      <c r="D26" s="83"/>
      <c r="E26" s="33">
        <f>'Stavební rozpočet'!I90</f>
        <v>0</v>
      </c>
      <c r="F26" s="33">
        <f>'Stavební rozpočet'!J90</f>
        <v>0</v>
      </c>
      <c r="G26" s="33">
        <f>'Stavební rozpočet'!K90</f>
        <v>0</v>
      </c>
      <c r="H26" s="33" t="s">
        <v>1016</v>
      </c>
      <c r="I26" s="33">
        <f t="shared" si="0"/>
        <v>0</v>
      </c>
    </row>
    <row r="27" spans="1:9" ht="12.75">
      <c r="A27" s="14"/>
      <c r="B27" s="14" t="s">
        <v>342</v>
      </c>
      <c r="C27" s="92" t="s">
        <v>659</v>
      </c>
      <c r="D27" s="83"/>
      <c r="E27" s="33">
        <f>'Stavební rozpočet'!I92</f>
        <v>0</v>
      </c>
      <c r="F27" s="33">
        <f>'Stavební rozpočet'!J92</f>
        <v>0</v>
      </c>
      <c r="G27" s="33">
        <f>'Stavební rozpočet'!K92</f>
        <v>0</v>
      </c>
      <c r="H27" s="33" t="s">
        <v>1016</v>
      </c>
      <c r="I27" s="33">
        <f t="shared" si="0"/>
        <v>0</v>
      </c>
    </row>
    <row r="28" spans="1:9" ht="12.75">
      <c r="A28" s="14"/>
      <c r="B28" s="14" t="s">
        <v>348</v>
      </c>
      <c r="C28" s="92" t="s">
        <v>664</v>
      </c>
      <c r="D28" s="83"/>
      <c r="E28" s="33">
        <f>'Stavební rozpočet'!I98</f>
        <v>0</v>
      </c>
      <c r="F28" s="33">
        <f>'Stavební rozpočet'!J98</f>
        <v>0</v>
      </c>
      <c r="G28" s="33">
        <f>'Stavební rozpočet'!K98</f>
        <v>0</v>
      </c>
      <c r="H28" s="33" t="s">
        <v>1016</v>
      </c>
      <c r="I28" s="33">
        <f t="shared" si="0"/>
        <v>0</v>
      </c>
    </row>
    <row r="29" spans="1:9" ht="12.75">
      <c r="A29" s="14"/>
      <c r="B29" s="14" t="s">
        <v>351</v>
      </c>
      <c r="C29" s="92" t="s">
        <v>667</v>
      </c>
      <c r="D29" s="83"/>
      <c r="E29" s="33">
        <f>'Stavební rozpočet'!I101</f>
        <v>0</v>
      </c>
      <c r="F29" s="33">
        <f>'Stavební rozpočet'!J101</f>
        <v>0</v>
      </c>
      <c r="G29" s="33">
        <f>'Stavební rozpočet'!K101</f>
        <v>0</v>
      </c>
      <c r="H29" s="33" t="s">
        <v>1016</v>
      </c>
      <c r="I29" s="33">
        <f t="shared" si="0"/>
        <v>0</v>
      </c>
    </row>
    <row r="30" spans="1:9" ht="12.75">
      <c r="A30" s="14"/>
      <c r="B30" s="14" t="s">
        <v>360</v>
      </c>
      <c r="C30" s="92" t="s">
        <v>674</v>
      </c>
      <c r="D30" s="83"/>
      <c r="E30" s="33">
        <f>'Stavební rozpočet'!I110</f>
        <v>0</v>
      </c>
      <c r="F30" s="33">
        <f>'Stavební rozpočet'!J110</f>
        <v>0</v>
      </c>
      <c r="G30" s="33">
        <f>'Stavební rozpočet'!K110</f>
        <v>0</v>
      </c>
      <c r="H30" s="33" t="s">
        <v>1016</v>
      </c>
      <c r="I30" s="33">
        <f t="shared" si="0"/>
        <v>0</v>
      </c>
    </row>
    <row r="31" spans="1:9" ht="12.75">
      <c r="A31" s="14"/>
      <c r="B31" s="14" t="s">
        <v>373</v>
      </c>
      <c r="C31" s="92" t="s">
        <v>688</v>
      </c>
      <c r="D31" s="83"/>
      <c r="E31" s="33">
        <f>'Stavební rozpočet'!I124</f>
        <v>0</v>
      </c>
      <c r="F31" s="33">
        <f>'Stavební rozpočet'!J124</f>
        <v>0</v>
      </c>
      <c r="G31" s="33">
        <f>'Stavební rozpočet'!K124</f>
        <v>0</v>
      </c>
      <c r="H31" s="33" t="s">
        <v>1016</v>
      </c>
      <c r="I31" s="33">
        <f t="shared" si="0"/>
        <v>0</v>
      </c>
    </row>
    <row r="32" spans="1:9" ht="12.75">
      <c r="A32" s="14"/>
      <c r="B32" s="14" t="s">
        <v>387</v>
      </c>
      <c r="C32" s="92" t="s">
        <v>702</v>
      </c>
      <c r="D32" s="83"/>
      <c r="E32" s="33">
        <f>'Stavební rozpočet'!I138</f>
        <v>0</v>
      </c>
      <c r="F32" s="33">
        <f>'Stavební rozpočet'!J138</f>
        <v>0</v>
      </c>
      <c r="G32" s="33">
        <f>'Stavební rozpočet'!K138</f>
        <v>0</v>
      </c>
      <c r="H32" s="33" t="s">
        <v>1016</v>
      </c>
      <c r="I32" s="33">
        <f t="shared" si="0"/>
        <v>0</v>
      </c>
    </row>
    <row r="33" spans="1:9" ht="12.75">
      <c r="A33" s="14"/>
      <c r="B33" s="14" t="s">
        <v>400</v>
      </c>
      <c r="C33" s="92" t="s">
        <v>714</v>
      </c>
      <c r="D33" s="83"/>
      <c r="E33" s="33">
        <f>'Stavební rozpočet'!I151</f>
        <v>0</v>
      </c>
      <c r="F33" s="33">
        <f>'Stavební rozpočet'!J151</f>
        <v>0</v>
      </c>
      <c r="G33" s="33">
        <f>'Stavební rozpočet'!K151</f>
        <v>0</v>
      </c>
      <c r="H33" s="33" t="s">
        <v>1016</v>
      </c>
      <c r="I33" s="33">
        <f t="shared" si="0"/>
        <v>0</v>
      </c>
    </row>
    <row r="34" spans="1:9" ht="12.75">
      <c r="A34" s="14"/>
      <c r="B34" s="14" t="s">
        <v>405</v>
      </c>
      <c r="C34" s="92" t="s">
        <v>718</v>
      </c>
      <c r="D34" s="83"/>
      <c r="E34" s="33">
        <f>'Stavební rozpočet'!I156</f>
        <v>0</v>
      </c>
      <c r="F34" s="33">
        <f>'Stavební rozpočet'!J156</f>
        <v>0</v>
      </c>
      <c r="G34" s="33">
        <f>'Stavební rozpočet'!K156</f>
        <v>0</v>
      </c>
      <c r="H34" s="33" t="s">
        <v>1016</v>
      </c>
      <c r="I34" s="33">
        <f t="shared" si="0"/>
        <v>0</v>
      </c>
    </row>
    <row r="35" spans="1:9" ht="12.75">
      <c r="A35" s="14"/>
      <c r="B35" s="14" t="s">
        <v>409</v>
      </c>
      <c r="C35" s="92" t="s">
        <v>722</v>
      </c>
      <c r="D35" s="83"/>
      <c r="E35" s="33">
        <f>'Stavební rozpočet'!I160</f>
        <v>0</v>
      </c>
      <c r="F35" s="33">
        <f>'Stavební rozpočet'!J160</f>
        <v>0</v>
      </c>
      <c r="G35" s="33">
        <f>'Stavební rozpočet'!K160</f>
        <v>0</v>
      </c>
      <c r="H35" s="33" t="s">
        <v>1016</v>
      </c>
      <c r="I35" s="33">
        <f t="shared" si="0"/>
        <v>0</v>
      </c>
    </row>
    <row r="36" spans="1:9" ht="12.75">
      <c r="A36" s="14"/>
      <c r="B36" s="14" t="s">
        <v>415</v>
      </c>
      <c r="C36" s="92" t="s">
        <v>725</v>
      </c>
      <c r="D36" s="83"/>
      <c r="E36" s="33">
        <f>'Stavební rozpočet'!I166</f>
        <v>0</v>
      </c>
      <c r="F36" s="33">
        <f>'Stavební rozpočet'!J166</f>
        <v>0</v>
      </c>
      <c r="G36" s="33">
        <f>'Stavební rozpočet'!K166</f>
        <v>0</v>
      </c>
      <c r="H36" s="33" t="s">
        <v>1016</v>
      </c>
      <c r="I36" s="33">
        <f t="shared" si="0"/>
        <v>0</v>
      </c>
    </row>
    <row r="37" spans="1:9" ht="12.75">
      <c r="A37" s="14"/>
      <c r="B37" s="14" t="s">
        <v>418</v>
      </c>
      <c r="C37" s="92" t="s">
        <v>727</v>
      </c>
      <c r="D37" s="83"/>
      <c r="E37" s="33">
        <f>'Stavební rozpočet'!I169</f>
        <v>0</v>
      </c>
      <c r="F37" s="33">
        <f>'Stavební rozpočet'!J169</f>
        <v>0</v>
      </c>
      <c r="G37" s="33">
        <f>'Stavební rozpočet'!K169</f>
        <v>0</v>
      </c>
      <c r="H37" s="33" t="s">
        <v>1016</v>
      </c>
      <c r="I37" s="33">
        <f t="shared" si="0"/>
        <v>0</v>
      </c>
    </row>
    <row r="38" spans="1:9" ht="12.75">
      <c r="A38" s="14"/>
      <c r="B38" s="14" t="s">
        <v>427</v>
      </c>
      <c r="C38" s="92" t="s">
        <v>737</v>
      </c>
      <c r="D38" s="83"/>
      <c r="E38" s="33">
        <f>'Stavební rozpočet'!I181</f>
        <v>0</v>
      </c>
      <c r="F38" s="33">
        <f>'Stavební rozpočet'!J181</f>
        <v>0</v>
      </c>
      <c r="G38" s="33">
        <f>'Stavební rozpočet'!K181</f>
        <v>0</v>
      </c>
      <c r="H38" s="33" t="s">
        <v>1016</v>
      </c>
      <c r="I38" s="33">
        <f t="shared" si="0"/>
        <v>0</v>
      </c>
    </row>
    <row r="39" spans="1:9" ht="12.75">
      <c r="A39" s="14"/>
      <c r="B39" s="14" t="s">
        <v>431</v>
      </c>
      <c r="C39" s="92" t="s">
        <v>741</v>
      </c>
      <c r="D39" s="83"/>
      <c r="E39" s="33">
        <f>'Stavební rozpočet'!I185</f>
        <v>0</v>
      </c>
      <c r="F39" s="33">
        <f>'Stavební rozpočet'!J185</f>
        <v>0</v>
      </c>
      <c r="G39" s="33">
        <f>'Stavební rozpočet'!K185</f>
        <v>0</v>
      </c>
      <c r="H39" s="33" t="s">
        <v>1016</v>
      </c>
      <c r="I39" s="33">
        <f t="shared" si="0"/>
        <v>0</v>
      </c>
    </row>
    <row r="40" spans="1:9" ht="12.75">
      <c r="A40" s="14"/>
      <c r="B40" s="14" t="s">
        <v>442</v>
      </c>
      <c r="C40" s="92" t="s">
        <v>752</v>
      </c>
      <c r="D40" s="83"/>
      <c r="E40" s="33">
        <f>'Stavební rozpočet'!I196</f>
        <v>0</v>
      </c>
      <c r="F40" s="33">
        <f>'Stavební rozpočet'!J196</f>
        <v>0</v>
      </c>
      <c r="G40" s="33">
        <f>'Stavební rozpočet'!K196</f>
        <v>0</v>
      </c>
      <c r="H40" s="33" t="s">
        <v>1016</v>
      </c>
      <c r="I40" s="33">
        <f t="shared" si="0"/>
        <v>0</v>
      </c>
    </row>
    <row r="41" spans="1:9" ht="12.75">
      <c r="A41" s="14"/>
      <c r="B41" s="14" t="s">
        <v>449</v>
      </c>
      <c r="C41" s="92" t="s">
        <v>759</v>
      </c>
      <c r="D41" s="83"/>
      <c r="E41" s="33">
        <f>'Stavební rozpočet'!I203</f>
        <v>0</v>
      </c>
      <c r="F41" s="33">
        <f>'Stavební rozpočet'!J203</f>
        <v>0</v>
      </c>
      <c r="G41" s="33">
        <f>'Stavební rozpočet'!K203</f>
        <v>0</v>
      </c>
      <c r="H41" s="33" t="s">
        <v>1016</v>
      </c>
      <c r="I41" s="33">
        <f t="shared" si="0"/>
        <v>0</v>
      </c>
    </row>
    <row r="42" spans="1:9" ht="12.75">
      <c r="A42" s="14"/>
      <c r="B42" s="14" t="s">
        <v>457</v>
      </c>
      <c r="C42" s="92" t="s">
        <v>767</v>
      </c>
      <c r="D42" s="83"/>
      <c r="E42" s="33">
        <f>'Stavební rozpočet'!I211</f>
        <v>0</v>
      </c>
      <c r="F42" s="33">
        <f>'Stavební rozpočet'!J211</f>
        <v>0</v>
      </c>
      <c r="G42" s="33">
        <f>'Stavební rozpočet'!K211</f>
        <v>0</v>
      </c>
      <c r="H42" s="33" t="s">
        <v>1016</v>
      </c>
      <c r="I42" s="33">
        <f t="shared" si="0"/>
        <v>0</v>
      </c>
    </row>
    <row r="43" spans="1:9" ht="12.75">
      <c r="A43" s="14"/>
      <c r="B43" s="14" t="s">
        <v>463</v>
      </c>
      <c r="C43" s="92" t="s">
        <v>773</v>
      </c>
      <c r="D43" s="83"/>
      <c r="E43" s="33">
        <f>'Stavební rozpočet'!I217</f>
        <v>0</v>
      </c>
      <c r="F43" s="33">
        <f>'Stavební rozpočet'!J217</f>
        <v>0</v>
      </c>
      <c r="G43" s="33">
        <f>'Stavební rozpočet'!K217</f>
        <v>0</v>
      </c>
      <c r="H43" s="33" t="s">
        <v>1016</v>
      </c>
      <c r="I43" s="33">
        <f aca="true" t="shared" si="1" ref="I43:I69">IF(H43="F",0,G43)</f>
        <v>0</v>
      </c>
    </row>
    <row r="44" spans="1:9" ht="12.75">
      <c r="A44" s="14"/>
      <c r="B44" s="14" t="s">
        <v>465</v>
      </c>
      <c r="C44" s="92" t="s">
        <v>775</v>
      </c>
      <c r="D44" s="83"/>
      <c r="E44" s="33">
        <f>'Stavební rozpočet'!I219</f>
        <v>0</v>
      </c>
      <c r="F44" s="33">
        <f>'Stavební rozpočet'!J219</f>
        <v>0</v>
      </c>
      <c r="G44" s="33">
        <f>'Stavební rozpočet'!K219</f>
        <v>0</v>
      </c>
      <c r="H44" s="33" t="s">
        <v>1016</v>
      </c>
      <c r="I44" s="33">
        <f t="shared" si="1"/>
        <v>0</v>
      </c>
    </row>
    <row r="45" spans="1:9" ht="12.75">
      <c r="A45" s="14"/>
      <c r="B45" s="14" t="s">
        <v>469</v>
      </c>
      <c r="C45" s="92" t="s">
        <v>780</v>
      </c>
      <c r="D45" s="83"/>
      <c r="E45" s="33">
        <f>'Stavební rozpočet'!I224</f>
        <v>0</v>
      </c>
      <c r="F45" s="33">
        <f>'Stavební rozpočet'!J224</f>
        <v>0</v>
      </c>
      <c r="G45" s="33">
        <f>'Stavební rozpočet'!K224</f>
        <v>0</v>
      </c>
      <c r="H45" s="33" t="s">
        <v>1016</v>
      </c>
      <c r="I45" s="33">
        <f t="shared" si="1"/>
        <v>0</v>
      </c>
    </row>
    <row r="46" spans="1:9" ht="12.75">
      <c r="A46" s="14"/>
      <c r="B46" s="14" t="s">
        <v>471</v>
      </c>
      <c r="C46" s="92" t="s">
        <v>782</v>
      </c>
      <c r="D46" s="83"/>
      <c r="E46" s="33">
        <f>'Stavební rozpočet'!I226</f>
        <v>0</v>
      </c>
      <c r="F46" s="33">
        <f>'Stavební rozpočet'!J226</f>
        <v>0</v>
      </c>
      <c r="G46" s="33">
        <f>'Stavební rozpočet'!K226</f>
        <v>0</v>
      </c>
      <c r="H46" s="33" t="s">
        <v>1016</v>
      </c>
      <c r="I46" s="33">
        <f t="shared" si="1"/>
        <v>0</v>
      </c>
    </row>
    <row r="47" spans="1:9" ht="12.75">
      <c r="A47" s="14"/>
      <c r="B47" s="14" t="s">
        <v>92</v>
      </c>
      <c r="C47" s="92" t="s">
        <v>785</v>
      </c>
      <c r="D47" s="83"/>
      <c r="E47" s="33">
        <f>'Stavební rozpočet'!I229</f>
        <v>0</v>
      </c>
      <c r="F47" s="33">
        <f>'Stavební rozpočet'!J229</f>
        <v>0</v>
      </c>
      <c r="G47" s="33">
        <f>'Stavební rozpočet'!K229</f>
        <v>0</v>
      </c>
      <c r="H47" s="33" t="s">
        <v>1016</v>
      </c>
      <c r="I47" s="33">
        <f t="shared" si="1"/>
        <v>0</v>
      </c>
    </row>
    <row r="48" spans="1:9" ht="12.75">
      <c r="A48" s="14"/>
      <c r="B48" s="14" t="s">
        <v>98</v>
      </c>
      <c r="C48" s="92" t="s">
        <v>788</v>
      </c>
      <c r="D48" s="83"/>
      <c r="E48" s="33">
        <f>'Stavební rozpočet'!I232</f>
        <v>0</v>
      </c>
      <c r="F48" s="33">
        <f>'Stavební rozpočet'!J232</f>
        <v>0</v>
      </c>
      <c r="G48" s="33">
        <f>'Stavební rozpočet'!K232</f>
        <v>0</v>
      </c>
      <c r="H48" s="33" t="s">
        <v>1016</v>
      </c>
      <c r="I48" s="33">
        <f t="shared" si="1"/>
        <v>0</v>
      </c>
    </row>
    <row r="49" spans="1:9" ht="12.75">
      <c r="A49" s="14"/>
      <c r="B49" s="14" t="s">
        <v>99</v>
      </c>
      <c r="C49" s="92" t="s">
        <v>794</v>
      </c>
      <c r="D49" s="83"/>
      <c r="E49" s="33">
        <f>'Stavební rozpočet'!I238</f>
        <v>0</v>
      </c>
      <c r="F49" s="33">
        <f>'Stavební rozpočet'!J238</f>
        <v>0</v>
      </c>
      <c r="G49" s="33">
        <f>'Stavební rozpočet'!K238</f>
        <v>0</v>
      </c>
      <c r="H49" s="33" t="s">
        <v>1016</v>
      </c>
      <c r="I49" s="33">
        <f t="shared" si="1"/>
        <v>0</v>
      </c>
    </row>
    <row r="50" spans="1:9" ht="12.75">
      <c r="A50" s="14"/>
      <c r="B50" s="14" t="s">
        <v>100</v>
      </c>
      <c r="C50" s="92" t="s">
        <v>796</v>
      </c>
      <c r="D50" s="83"/>
      <c r="E50" s="33">
        <f>'Stavební rozpočet'!I240</f>
        <v>0</v>
      </c>
      <c r="F50" s="33">
        <f>'Stavební rozpočet'!J240</f>
        <v>0</v>
      </c>
      <c r="G50" s="33">
        <f>'Stavební rozpočet'!K240</f>
        <v>0</v>
      </c>
      <c r="H50" s="33" t="s">
        <v>1016</v>
      </c>
      <c r="I50" s="33">
        <f t="shared" si="1"/>
        <v>0</v>
      </c>
    </row>
    <row r="51" spans="1:9" ht="12.75">
      <c r="A51" s="14"/>
      <c r="B51" s="14" t="s">
        <v>101</v>
      </c>
      <c r="C51" s="92" t="s">
        <v>812</v>
      </c>
      <c r="D51" s="83"/>
      <c r="E51" s="33">
        <f>'Stavební rozpočet'!I256</f>
        <v>0</v>
      </c>
      <c r="F51" s="33">
        <f>'Stavební rozpočet'!J256</f>
        <v>0</v>
      </c>
      <c r="G51" s="33">
        <f>'Stavební rozpočet'!K256</f>
        <v>0</v>
      </c>
      <c r="H51" s="33" t="s">
        <v>1016</v>
      </c>
      <c r="I51" s="33">
        <f t="shared" si="1"/>
        <v>0</v>
      </c>
    </row>
    <row r="52" spans="1:9" ht="12.75">
      <c r="A52" s="14"/>
      <c r="B52" s="14" t="s">
        <v>102</v>
      </c>
      <c r="C52" s="92" t="s">
        <v>817</v>
      </c>
      <c r="D52" s="83"/>
      <c r="E52" s="33">
        <f>'Stavební rozpočet'!I261</f>
        <v>0</v>
      </c>
      <c r="F52" s="33">
        <f>'Stavební rozpočet'!J261</f>
        <v>0</v>
      </c>
      <c r="G52" s="33">
        <f>'Stavební rozpočet'!K261</f>
        <v>0</v>
      </c>
      <c r="H52" s="33" t="s">
        <v>1016</v>
      </c>
      <c r="I52" s="33">
        <f t="shared" si="1"/>
        <v>0</v>
      </c>
    </row>
    <row r="53" spans="1:9" ht="12.75">
      <c r="A53" s="14"/>
      <c r="B53" s="14" t="s">
        <v>503</v>
      </c>
      <c r="C53" s="92" t="s">
        <v>820</v>
      </c>
      <c r="D53" s="83"/>
      <c r="E53" s="33">
        <f>'Stavební rozpočet'!I264</f>
        <v>0</v>
      </c>
      <c r="F53" s="33">
        <f>'Stavební rozpočet'!J264</f>
        <v>0</v>
      </c>
      <c r="G53" s="33">
        <f>'Stavební rozpočet'!K264</f>
        <v>0</v>
      </c>
      <c r="H53" s="33" t="s">
        <v>1016</v>
      </c>
      <c r="I53" s="33">
        <f t="shared" si="1"/>
        <v>0</v>
      </c>
    </row>
    <row r="54" spans="1:9" ht="12.75">
      <c r="A54" s="14"/>
      <c r="B54" s="14" t="s">
        <v>505</v>
      </c>
      <c r="C54" s="92" t="s">
        <v>822</v>
      </c>
      <c r="D54" s="83"/>
      <c r="E54" s="33">
        <f>'Stavební rozpočet'!I266</f>
        <v>0</v>
      </c>
      <c r="F54" s="33">
        <f>'Stavební rozpočet'!J266</f>
        <v>0</v>
      </c>
      <c r="G54" s="33">
        <f>'Stavební rozpočet'!K266</f>
        <v>0</v>
      </c>
      <c r="H54" s="33" t="s">
        <v>1016</v>
      </c>
      <c r="I54" s="33">
        <f t="shared" si="1"/>
        <v>0</v>
      </c>
    </row>
    <row r="55" spans="1:9" ht="12.75">
      <c r="A55" s="14"/>
      <c r="B55" s="14" t="s">
        <v>507</v>
      </c>
      <c r="C55" s="92" t="s">
        <v>659</v>
      </c>
      <c r="D55" s="83"/>
      <c r="E55" s="33">
        <f>'Stavební rozpočet'!I268</f>
        <v>0</v>
      </c>
      <c r="F55" s="33">
        <f>'Stavební rozpočet'!J268</f>
        <v>0</v>
      </c>
      <c r="G55" s="33">
        <f>'Stavební rozpočet'!K268</f>
        <v>0</v>
      </c>
      <c r="H55" s="33" t="s">
        <v>1016</v>
      </c>
      <c r="I55" s="33">
        <f t="shared" si="1"/>
        <v>0</v>
      </c>
    </row>
    <row r="56" spans="1:9" ht="12.75">
      <c r="A56" s="14"/>
      <c r="B56" s="14" t="s">
        <v>509</v>
      </c>
      <c r="C56" s="92" t="s">
        <v>664</v>
      </c>
      <c r="D56" s="83"/>
      <c r="E56" s="33">
        <f>'Stavební rozpočet'!I270</f>
        <v>0</v>
      </c>
      <c r="F56" s="33">
        <f>'Stavební rozpočet'!J270</f>
        <v>0</v>
      </c>
      <c r="G56" s="33">
        <f>'Stavební rozpočet'!K270</f>
        <v>0</v>
      </c>
      <c r="H56" s="33" t="s">
        <v>1016</v>
      </c>
      <c r="I56" s="33">
        <f t="shared" si="1"/>
        <v>0</v>
      </c>
    </row>
    <row r="57" spans="1:9" ht="12.75">
      <c r="A57" s="14"/>
      <c r="B57" s="14" t="s">
        <v>511</v>
      </c>
      <c r="C57" s="92" t="s">
        <v>667</v>
      </c>
      <c r="D57" s="83"/>
      <c r="E57" s="33">
        <f>'Stavební rozpočet'!I272</f>
        <v>0</v>
      </c>
      <c r="F57" s="33">
        <f>'Stavební rozpočet'!J272</f>
        <v>0</v>
      </c>
      <c r="G57" s="33">
        <f>'Stavební rozpočet'!K272</f>
        <v>0</v>
      </c>
      <c r="H57" s="33" t="s">
        <v>1016</v>
      </c>
      <c r="I57" s="33">
        <f t="shared" si="1"/>
        <v>0</v>
      </c>
    </row>
    <row r="58" spans="1:9" ht="12.75">
      <c r="A58" s="14"/>
      <c r="B58" s="14" t="s">
        <v>513</v>
      </c>
      <c r="C58" s="92" t="s">
        <v>674</v>
      </c>
      <c r="D58" s="83"/>
      <c r="E58" s="33">
        <f>'Stavební rozpočet'!I274</f>
        <v>0</v>
      </c>
      <c r="F58" s="33">
        <f>'Stavební rozpočet'!J274</f>
        <v>0</v>
      </c>
      <c r="G58" s="33">
        <f>'Stavební rozpočet'!K274</f>
        <v>0</v>
      </c>
      <c r="H58" s="33" t="s">
        <v>1016</v>
      </c>
      <c r="I58" s="33">
        <f t="shared" si="1"/>
        <v>0</v>
      </c>
    </row>
    <row r="59" spans="1:9" ht="12.75">
      <c r="A59" s="14"/>
      <c r="B59" s="14" t="s">
        <v>515</v>
      </c>
      <c r="C59" s="92" t="s">
        <v>688</v>
      </c>
      <c r="D59" s="83"/>
      <c r="E59" s="33">
        <f>'Stavební rozpočet'!I276</f>
        <v>0</v>
      </c>
      <c r="F59" s="33">
        <f>'Stavební rozpočet'!J276</f>
        <v>0</v>
      </c>
      <c r="G59" s="33">
        <f>'Stavební rozpočet'!K276</f>
        <v>0</v>
      </c>
      <c r="H59" s="33" t="s">
        <v>1016</v>
      </c>
      <c r="I59" s="33">
        <f t="shared" si="1"/>
        <v>0</v>
      </c>
    </row>
    <row r="60" spans="1:9" ht="12.75">
      <c r="A60" s="14"/>
      <c r="B60" s="14" t="s">
        <v>517</v>
      </c>
      <c r="C60" s="92" t="s">
        <v>727</v>
      </c>
      <c r="D60" s="83"/>
      <c r="E60" s="33">
        <f>'Stavební rozpočet'!I278</f>
        <v>0</v>
      </c>
      <c r="F60" s="33">
        <f>'Stavební rozpočet'!J278</f>
        <v>0</v>
      </c>
      <c r="G60" s="33">
        <f>'Stavební rozpočet'!K278</f>
        <v>0</v>
      </c>
      <c r="H60" s="33" t="s">
        <v>1016</v>
      </c>
      <c r="I60" s="33">
        <f t="shared" si="1"/>
        <v>0</v>
      </c>
    </row>
    <row r="61" spans="1:9" ht="12.75">
      <c r="A61" s="14"/>
      <c r="B61" s="14" t="s">
        <v>519</v>
      </c>
      <c r="C61" s="92" t="s">
        <v>737</v>
      </c>
      <c r="D61" s="83"/>
      <c r="E61" s="33">
        <f>'Stavební rozpočet'!I280</f>
        <v>0</v>
      </c>
      <c r="F61" s="33">
        <f>'Stavební rozpočet'!J280</f>
        <v>0</v>
      </c>
      <c r="G61" s="33">
        <f>'Stavební rozpočet'!K280</f>
        <v>0</v>
      </c>
      <c r="H61" s="33" t="s">
        <v>1016</v>
      </c>
      <c r="I61" s="33">
        <f t="shared" si="1"/>
        <v>0</v>
      </c>
    </row>
    <row r="62" spans="1:9" ht="12.75">
      <c r="A62" s="14"/>
      <c r="B62" s="14" t="s">
        <v>521</v>
      </c>
      <c r="C62" s="92" t="s">
        <v>741</v>
      </c>
      <c r="D62" s="83"/>
      <c r="E62" s="33">
        <f>'Stavební rozpočet'!I282</f>
        <v>0</v>
      </c>
      <c r="F62" s="33">
        <f>'Stavební rozpočet'!J282</f>
        <v>0</v>
      </c>
      <c r="G62" s="33">
        <f>'Stavební rozpočet'!K282</f>
        <v>0</v>
      </c>
      <c r="H62" s="33" t="s">
        <v>1016</v>
      </c>
      <c r="I62" s="33">
        <f t="shared" si="1"/>
        <v>0</v>
      </c>
    </row>
    <row r="63" spans="1:9" ht="12.75">
      <c r="A63" s="14"/>
      <c r="B63" s="14" t="s">
        <v>523</v>
      </c>
      <c r="C63" s="92" t="s">
        <v>752</v>
      </c>
      <c r="D63" s="83"/>
      <c r="E63" s="33">
        <f>'Stavební rozpočet'!I284</f>
        <v>0</v>
      </c>
      <c r="F63" s="33">
        <f>'Stavební rozpočet'!J284</f>
        <v>0</v>
      </c>
      <c r="G63" s="33">
        <f>'Stavební rozpočet'!K284</f>
        <v>0</v>
      </c>
      <c r="H63" s="33" t="s">
        <v>1016</v>
      </c>
      <c r="I63" s="33">
        <f t="shared" si="1"/>
        <v>0</v>
      </c>
    </row>
    <row r="64" spans="1:9" ht="12.75">
      <c r="A64" s="14"/>
      <c r="B64" s="14" t="s">
        <v>525</v>
      </c>
      <c r="C64" s="92" t="s">
        <v>767</v>
      </c>
      <c r="D64" s="83"/>
      <c r="E64" s="33">
        <f>'Stavební rozpočet'!I286</f>
        <v>0</v>
      </c>
      <c r="F64" s="33">
        <f>'Stavební rozpočet'!J286</f>
        <v>0</v>
      </c>
      <c r="G64" s="33">
        <f>'Stavební rozpočet'!K286</f>
        <v>0</v>
      </c>
      <c r="H64" s="33" t="s">
        <v>1016</v>
      </c>
      <c r="I64" s="33">
        <f t="shared" si="1"/>
        <v>0</v>
      </c>
    </row>
    <row r="65" spans="1:9" ht="12.75">
      <c r="A65" s="14"/>
      <c r="B65" s="14" t="s">
        <v>527</v>
      </c>
      <c r="C65" s="92" t="s">
        <v>775</v>
      </c>
      <c r="D65" s="83"/>
      <c r="E65" s="33">
        <f>'Stavební rozpočet'!I288</f>
        <v>0</v>
      </c>
      <c r="F65" s="33">
        <f>'Stavební rozpočet'!J288</f>
        <v>0</v>
      </c>
      <c r="G65" s="33">
        <f>'Stavební rozpočet'!K288</f>
        <v>0</v>
      </c>
      <c r="H65" s="33" t="s">
        <v>1016</v>
      </c>
      <c r="I65" s="33">
        <f t="shared" si="1"/>
        <v>0</v>
      </c>
    </row>
    <row r="66" spans="1:9" ht="12.75">
      <c r="A66" s="14"/>
      <c r="B66" s="14" t="s">
        <v>529</v>
      </c>
      <c r="C66" s="92" t="s">
        <v>835</v>
      </c>
      <c r="D66" s="83"/>
      <c r="E66" s="33">
        <f>'Stavební rozpočet'!I290</f>
        <v>0</v>
      </c>
      <c r="F66" s="33">
        <f>'Stavební rozpočet'!J290</f>
        <v>0</v>
      </c>
      <c r="G66" s="33">
        <f>'Stavební rozpočet'!K290</f>
        <v>0</v>
      </c>
      <c r="H66" s="33" t="s">
        <v>1016</v>
      </c>
      <c r="I66" s="33">
        <f t="shared" si="1"/>
        <v>0</v>
      </c>
    </row>
    <row r="67" spans="1:9" ht="12.75">
      <c r="A67" s="14"/>
      <c r="B67" s="14" t="s">
        <v>555</v>
      </c>
      <c r="C67" s="92" t="s">
        <v>863</v>
      </c>
      <c r="D67" s="83"/>
      <c r="E67" s="33">
        <f>'Stavební rozpočet'!I319</f>
        <v>0</v>
      </c>
      <c r="F67" s="33">
        <f>'Stavební rozpočet'!J319</f>
        <v>0</v>
      </c>
      <c r="G67" s="33">
        <f>'Stavební rozpočet'!K319</f>
        <v>0</v>
      </c>
      <c r="H67" s="33" t="s">
        <v>1016</v>
      </c>
      <c r="I67" s="33">
        <f t="shared" si="1"/>
        <v>0</v>
      </c>
    </row>
    <row r="68" spans="1:9" ht="12.75">
      <c r="A68" s="14"/>
      <c r="B68" s="14" t="s">
        <v>558</v>
      </c>
      <c r="C68" s="92" t="s">
        <v>866</v>
      </c>
      <c r="D68" s="83"/>
      <c r="E68" s="33">
        <f>'Stavební rozpočet'!I322</f>
        <v>0</v>
      </c>
      <c r="F68" s="33">
        <f>'Stavební rozpočet'!J322</f>
        <v>0</v>
      </c>
      <c r="G68" s="33">
        <f>'Stavební rozpočet'!K322</f>
        <v>0</v>
      </c>
      <c r="H68" s="33" t="s">
        <v>1016</v>
      </c>
      <c r="I68" s="33">
        <f t="shared" si="1"/>
        <v>0</v>
      </c>
    </row>
    <row r="69" spans="1:9" ht="12.75">
      <c r="A69" s="14"/>
      <c r="B69" s="14" t="s">
        <v>560</v>
      </c>
      <c r="C69" s="92" t="s">
        <v>868</v>
      </c>
      <c r="D69" s="83"/>
      <c r="E69" s="33">
        <f>'Stavební rozpočet'!I324</f>
        <v>0</v>
      </c>
      <c r="F69" s="33">
        <f>'Stavební rozpočet'!J324</f>
        <v>0</v>
      </c>
      <c r="G69" s="33">
        <f>'Stavební rozpočet'!K324</f>
        <v>0</v>
      </c>
      <c r="H69" s="33" t="s">
        <v>1016</v>
      </c>
      <c r="I69" s="33">
        <f t="shared" si="1"/>
        <v>0</v>
      </c>
    </row>
    <row r="71" spans="6:7" ht="12.75">
      <c r="F71" s="42" t="s">
        <v>916</v>
      </c>
      <c r="G71" s="44">
        <f>SUM(I11:I69)</f>
        <v>0</v>
      </c>
    </row>
  </sheetData>
  <sheetProtection/>
  <mergeCells count="77">
    <mergeCell ref="C64:D64"/>
    <mergeCell ref="C65:D65"/>
    <mergeCell ref="C66:D66"/>
    <mergeCell ref="C67:D67"/>
    <mergeCell ref="C68:D68"/>
    <mergeCell ref="C69:D69"/>
    <mergeCell ref="C58:D58"/>
    <mergeCell ref="C59:D59"/>
    <mergeCell ref="C60:D60"/>
    <mergeCell ref="C61:D61"/>
    <mergeCell ref="C62:D62"/>
    <mergeCell ref="C63:D63"/>
    <mergeCell ref="C52:D52"/>
    <mergeCell ref="C53:D53"/>
    <mergeCell ref="C54:D54"/>
    <mergeCell ref="C55:D55"/>
    <mergeCell ref="C56:D56"/>
    <mergeCell ref="C57:D57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0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4" sqref="A4:B5"/>
    </sheetView>
  </sheetViews>
  <sheetFormatPr defaultColWidth="11.421875" defaultRowHeight="12.75"/>
  <cols>
    <col min="1" max="2" width="9.140625" style="0" customWidth="1"/>
    <col min="3" max="3" width="13.28125" style="0" customWidth="1"/>
    <col min="4" max="4" width="87.00390625" style="0" customWidth="1"/>
    <col min="5" max="5" width="14.57421875" style="0" customWidth="1"/>
    <col min="6" max="6" width="24.140625" style="0" customWidth="1"/>
    <col min="7" max="7" width="15.7109375" style="0" customWidth="1"/>
    <col min="8" max="8" width="18.140625" style="0" customWidth="1"/>
  </cols>
  <sheetData>
    <row r="1" spans="1:8" ht="63.75" customHeight="1">
      <c r="A1" s="173" t="s">
        <v>1017</v>
      </c>
      <c r="B1" s="79"/>
      <c r="C1" s="79"/>
      <c r="D1" s="79"/>
      <c r="E1" s="79"/>
      <c r="F1" s="79"/>
      <c r="G1" s="79"/>
      <c r="H1" s="79"/>
    </row>
    <row r="2" spans="1:9" ht="12.75">
      <c r="A2" s="80" t="s">
        <v>1</v>
      </c>
      <c r="B2" s="81"/>
      <c r="C2" s="84" t="str">
        <f>'[1]Stavební rozpočet'!D2</f>
        <v>Přístavba polytechnické dílny - ZŠ Grafická</v>
      </c>
      <c r="D2" s="114"/>
      <c r="E2" s="87" t="s">
        <v>904</v>
      </c>
      <c r="F2" s="87" t="str">
        <f>'[1]Stavební rozpočet'!I2</f>
        <v>Atelier H3T architekti, s.r.o.</v>
      </c>
      <c r="G2" s="81"/>
      <c r="H2" s="88"/>
      <c r="I2" s="31"/>
    </row>
    <row r="3" spans="1:9" ht="12.75">
      <c r="A3" s="82"/>
      <c r="B3" s="83"/>
      <c r="C3" s="85"/>
      <c r="D3" s="85"/>
      <c r="E3" s="83"/>
      <c r="F3" s="83"/>
      <c r="G3" s="83"/>
      <c r="H3" s="89"/>
      <c r="I3" s="31"/>
    </row>
    <row r="4" spans="1:9" ht="12.75">
      <c r="A4" s="90" t="s">
        <v>2</v>
      </c>
      <c r="B4" s="83"/>
      <c r="C4" s="91" t="str">
        <f>'[1]Stavební rozpočet'!D4</f>
        <v>Dílna</v>
      </c>
      <c r="D4" s="83"/>
      <c r="E4" s="91" t="s">
        <v>905</v>
      </c>
      <c r="F4" s="91" t="str">
        <f>'[1]Stavební rozpočet'!I4</f>
        <v>Atelier H3T architekti,s.r.o., Nám.Česk.povstání 2</v>
      </c>
      <c r="G4" s="83"/>
      <c r="H4" s="89"/>
      <c r="I4" s="31"/>
    </row>
    <row r="5" spans="1:9" ht="12.75">
      <c r="A5" s="82"/>
      <c r="B5" s="83"/>
      <c r="C5" s="83"/>
      <c r="D5" s="83"/>
      <c r="E5" s="83"/>
      <c r="F5" s="83"/>
      <c r="G5" s="83"/>
      <c r="H5" s="89"/>
      <c r="I5" s="31"/>
    </row>
    <row r="6" spans="1:9" ht="12.75">
      <c r="A6" s="90" t="s">
        <v>3</v>
      </c>
      <c r="B6" s="83"/>
      <c r="C6" s="91" t="str">
        <f>'[1]Stavební rozpočet'!D6</f>
        <v>ZŠ Grafická č. 1060/13, Praha 5 - Smíchov</v>
      </c>
      <c r="D6" s="83"/>
      <c r="E6" s="91" t="s">
        <v>906</v>
      </c>
      <c r="F6" s="91" t="str">
        <f>'[1]Stavební rozpočet'!I6</f>
        <v> </v>
      </c>
      <c r="G6" s="83"/>
      <c r="H6" s="89"/>
      <c r="I6" s="31"/>
    </row>
    <row r="7" spans="1:9" ht="12.75">
      <c r="A7" s="82"/>
      <c r="B7" s="83"/>
      <c r="C7" s="83"/>
      <c r="D7" s="83"/>
      <c r="E7" s="83"/>
      <c r="F7" s="83"/>
      <c r="G7" s="83"/>
      <c r="H7" s="89"/>
      <c r="I7" s="31"/>
    </row>
    <row r="8" spans="1:9" ht="12.75">
      <c r="A8" s="90" t="s">
        <v>907</v>
      </c>
      <c r="B8" s="83"/>
      <c r="C8" s="91" t="str">
        <f>'[1]Stavební rozpočet'!I8</f>
        <v>Ing. Petr FILIP</v>
      </c>
      <c r="D8" s="83"/>
      <c r="E8" s="91" t="s">
        <v>889</v>
      </c>
      <c r="F8" s="91" t="str">
        <f>'[1]Stavební rozpočet'!G8</f>
        <v>21.09.2020</v>
      </c>
      <c r="G8" s="83"/>
      <c r="H8" s="89"/>
      <c r="I8" s="31"/>
    </row>
    <row r="9" spans="1:9" ht="12.75">
      <c r="A9" s="93"/>
      <c r="B9" s="94"/>
      <c r="C9" s="94"/>
      <c r="D9" s="94"/>
      <c r="E9" s="94"/>
      <c r="F9" s="94"/>
      <c r="G9" s="94"/>
      <c r="H9" s="95"/>
      <c r="I9" s="31"/>
    </row>
    <row r="10" spans="1:9" ht="12.75">
      <c r="A10" s="40" t="s">
        <v>5</v>
      </c>
      <c r="B10" s="46" t="s">
        <v>1012</v>
      </c>
      <c r="C10" s="46" t="s">
        <v>281</v>
      </c>
      <c r="D10" s="117" t="s">
        <v>579</v>
      </c>
      <c r="E10" s="118"/>
      <c r="F10" s="46" t="s">
        <v>892</v>
      </c>
      <c r="G10" s="47" t="s">
        <v>903</v>
      </c>
      <c r="H10" s="38" t="s">
        <v>1219</v>
      </c>
      <c r="I10" s="32"/>
    </row>
    <row r="11" spans="1:8" ht="12.75">
      <c r="A11" s="45" t="s">
        <v>7</v>
      </c>
      <c r="B11" s="45"/>
      <c r="C11" s="45" t="s">
        <v>283</v>
      </c>
      <c r="D11" s="121" t="s">
        <v>582</v>
      </c>
      <c r="E11" s="122"/>
      <c r="F11" s="45" t="s">
        <v>893</v>
      </c>
      <c r="G11" s="48">
        <v>668.68</v>
      </c>
      <c r="H11" s="48">
        <v>0</v>
      </c>
    </row>
    <row r="12" spans="1:8" ht="12" customHeight="1">
      <c r="A12" s="4"/>
      <c r="B12" s="4"/>
      <c r="C12" s="4"/>
      <c r="D12" s="123" t="s">
        <v>1018</v>
      </c>
      <c r="E12" s="124"/>
      <c r="F12" s="123"/>
      <c r="G12" s="49">
        <v>668.68</v>
      </c>
      <c r="H12" s="27"/>
    </row>
    <row r="13" spans="1:8" ht="12.75">
      <c r="A13" s="6" t="s">
        <v>9</v>
      </c>
      <c r="B13" s="6"/>
      <c r="C13" s="6" t="s">
        <v>284</v>
      </c>
      <c r="D13" s="111" t="s">
        <v>584</v>
      </c>
      <c r="E13" s="112"/>
      <c r="F13" s="6" t="s">
        <v>895</v>
      </c>
      <c r="G13" s="17">
        <v>48</v>
      </c>
      <c r="H13" s="17">
        <v>0</v>
      </c>
    </row>
    <row r="14" spans="1:8" ht="12" customHeight="1">
      <c r="A14" s="6"/>
      <c r="B14" s="6"/>
      <c r="C14" s="6"/>
      <c r="D14" s="125" t="s">
        <v>1021</v>
      </c>
      <c r="E14" s="126"/>
      <c r="F14" s="125"/>
      <c r="G14" s="50">
        <v>48</v>
      </c>
      <c r="H14" s="29"/>
    </row>
    <row r="15" spans="1:8" ht="12.75">
      <c r="A15" s="6" t="s">
        <v>10</v>
      </c>
      <c r="B15" s="6"/>
      <c r="C15" s="6" t="s">
        <v>285</v>
      </c>
      <c r="D15" s="111" t="s">
        <v>585</v>
      </c>
      <c r="E15" s="112"/>
      <c r="F15" s="6" t="s">
        <v>896</v>
      </c>
      <c r="G15" s="17">
        <v>5</v>
      </c>
      <c r="H15" s="17">
        <v>0</v>
      </c>
    </row>
    <row r="16" spans="1:8" ht="12" customHeight="1">
      <c r="A16" s="6"/>
      <c r="B16" s="6"/>
      <c r="C16" s="6"/>
      <c r="D16" s="125" t="s">
        <v>1022</v>
      </c>
      <c r="E16" s="126"/>
      <c r="F16" s="125"/>
      <c r="G16" s="50">
        <v>5</v>
      </c>
      <c r="H16" s="29"/>
    </row>
    <row r="17" spans="1:8" ht="12.75">
      <c r="A17" s="4" t="s">
        <v>12</v>
      </c>
      <c r="B17" s="4"/>
      <c r="C17" s="4" t="s">
        <v>286</v>
      </c>
      <c r="D17" s="107" t="s">
        <v>587</v>
      </c>
      <c r="E17" s="108"/>
      <c r="F17" s="4" t="s">
        <v>897</v>
      </c>
      <c r="G17" s="16">
        <v>14.06</v>
      </c>
      <c r="H17" s="16">
        <v>0</v>
      </c>
    </row>
    <row r="18" spans="1:8" ht="12" customHeight="1">
      <c r="A18" s="4"/>
      <c r="B18" s="4"/>
      <c r="C18" s="4"/>
      <c r="D18" s="123" t="s">
        <v>1023</v>
      </c>
      <c r="E18" s="124"/>
      <c r="F18" s="123"/>
      <c r="G18" s="49">
        <v>14.06</v>
      </c>
      <c r="H18" s="27"/>
    </row>
    <row r="19" spans="1:8" ht="12.75">
      <c r="A19" s="4" t="s">
        <v>13</v>
      </c>
      <c r="B19" s="4"/>
      <c r="C19" s="4" t="s">
        <v>287</v>
      </c>
      <c r="D19" s="107" t="s">
        <v>588</v>
      </c>
      <c r="E19" s="108"/>
      <c r="F19" s="4" t="s">
        <v>897</v>
      </c>
      <c r="G19" s="16">
        <v>15.78566</v>
      </c>
      <c r="H19" s="16">
        <v>0</v>
      </c>
    </row>
    <row r="20" spans="1:8" ht="12" customHeight="1">
      <c r="A20" s="4"/>
      <c r="B20" s="4"/>
      <c r="C20" s="4"/>
      <c r="D20" s="123" t="s">
        <v>1024</v>
      </c>
      <c r="E20" s="124"/>
      <c r="F20" s="123"/>
      <c r="G20" s="49">
        <v>10.9725</v>
      </c>
      <c r="H20" s="27"/>
    </row>
    <row r="21" spans="1:8" ht="12" customHeight="1">
      <c r="A21" s="4"/>
      <c r="B21" s="4"/>
      <c r="C21" s="4"/>
      <c r="D21" s="123" t="s">
        <v>1025</v>
      </c>
      <c r="E21" s="124"/>
      <c r="F21" s="123"/>
      <c r="G21" s="49">
        <v>4.81316</v>
      </c>
      <c r="H21" s="27"/>
    </row>
    <row r="22" spans="1:8" ht="12.75">
      <c r="A22" s="4" t="s">
        <v>14</v>
      </c>
      <c r="B22" s="4"/>
      <c r="C22" s="4" t="s">
        <v>288</v>
      </c>
      <c r="D22" s="107" t="s">
        <v>589</v>
      </c>
      <c r="E22" s="108"/>
      <c r="F22" s="4" t="s">
        <v>897</v>
      </c>
      <c r="G22" s="16">
        <v>15.7856</v>
      </c>
      <c r="H22" s="16">
        <v>0</v>
      </c>
    </row>
    <row r="23" spans="1:8" ht="12" customHeight="1">
      <c r="A23" s="4"/>
      <c r="B23" s="4"/>
      <c r="C23" s="4"/>
      <c r="D23" s="123" t="s">
        <v>1026</v>
      </c>
      <c r="E23" s="124"/>
      <c r="F23" s="123"/>
      <c r="G23" s="49">
        <v>15.7856</v>
      </c>
      <c r="H23" s="27"/>
    </row>
    <row r="24" spans="1:8" ht="12.75">
      <c r="A24" s="4" t="s">
        <v>15</v>
      </c>
      <c r="B24" s="4"/>
      <c r="C24" s="4" t="s">
        <v>289</v>
      </c>
      <c r="D24" s="107" t="s">
        <v>591</v>
      </c>
      <c r="E24" s="108"/>
      <c r="F24" s="4" t="s">
        <v>897</v>
      </c>
      <c r="G24" s="16">
        <v>15.84</v>
      </c>
      <c r="H24" s="16">
        <v>0</v>
      </c>
    </row>
    <row r="25" spans="1:8" ht="12" customHeight="1">
      <c r="A25" s="4"/>
      <c r="B25" s="4"/>
      <c r="C25" s="4"/>
      <c r="D25" s="123" t="s">
        <v>1027</v>
      </c>
      <c r="E25" s="124"/>
      <c r="F25" s="123"/>
      <c r="G25" s="49">
        <v>9.72</v>
      </c>
      <c r="H25" s="27"/>
    </row>
    <row r="26" spans="1:8" ht="12" customHeight="1">
      <c r="A26" s="4"/>
      <c r="B26" s="4"/>
      <c r="C26" s="4"/>
      <c r="D26" s="123" t="s">
        <v>1028</v>
      </c>
      <c r="E26" s="124"/>
      <c r="F26" s="123"/>
      <c r="G26" s="49">
        <v>6.12</v>
      </c>
      <c r="H26" s="27"/>
    </row>
    <row r="27" spans="1:8" ht="12.75">
      <c r="A27" s="4" t="s">
        <v>16</v>
      </c>
      <c r="B27" s="4"/>
      <c r="C27" s="4" t="s">
        <v>290</v>
      </c>
      <c r="D27" s="107" t="s">
        <v>592</v>
      </c>
      <c r="E27" s="108"/>
      <c r="F27" s="4" t="s">
        <v>897</v>
      </c>
      <c r="G27" s="16">
        <v>15.84</v>
      </c>
      <c r="H27" s="16">
        <v>0</v>
      </c>
    </row>
    <row r="28" spans="1:8" ht="12" customHeight="1">
      <c r="A28" s="4"/>
      <c r="B28" s="4"/>
      <c r="C28" s="4"/>
      <c r="D28" s="123" t="s">
        <v>1029</v>
      </c>
      <c r="E28" s="124"/>
      <c r="F28" s="123"/>
      <c r="G28" s="49">
        <v>15.84</v>
      </c>
      <c r="H28" s="27"/>
    </row>
    <row r="29" spans="1:8" ht="12.75">
      <c r="A29" s="4" t="s">
        <v>17</v>
      </c>
      <c r="B29" s="4"/>
      <c r="C29" s="4" t="s">
        <v>289</v>
      </c>
      <c r="D29" s="107" t="s">
        <v>593</v>
      </c>
      <c r="E29" s="108"/>
      <c r="F29" s="4" t="s">
        <v>897</v>
      </c>
      <c r="G29" s="16">
        <v>10.35</v>
      </c>
      <c r="H29" s="16">
        <v>0</v>
      </c>
    </row>
    <row r="30" spans="1:8" ht="12" customHeight="1">
      <c r="A30" s="4"/>
      <c r="B30" s="4"/>
      <c r="C30" s="4"/>
      <c r="D30" s="123" t="s">
        <v>1030</v>
      </c>
      <c r="E30" s="124"/>
      <c r="F30" s="123"/>
      <c r="G30" s="49">
        <v>8.225</v>
      </c>
      <c r="H30" s="27"/>
    </row>
    <row r="31" spans="1:8" ht="12" customHeight="1">
      <c r="A31" s="4"/>
      <c r="B31" s="4"/>
      <c r="C31" s="4"/>
      <c r="D31" s="123" t="s">
        <v>1031</v>
      </c>
      <c r="E31" s="124"/>
      <c r="F31" s="123"/>
      <c r="G31" s="49">
        <v>1.875</v>
      </c>
      <c r="H31" s="27"/>
    </row>
    <row r="32" spans="1:8" ht="12" customHeight="1">
      <c r="A32" s="4"/>
      <c r="B32" s="4"/>
      <c r="C32" s="4"/>
      <c r="D32" s="123" t="s">
        <v>1032</v>
      </c>
      <c r="E32" s="124"/>
      <c r="F32" s="123"/>
      <c r="G32" s="49">
        <v>0.25</v>
      </c>
      <c r="H32" s="27"/>
    </row>
    <row r="33" spans="1:8" ht="12.75">
      <c r="A33" s="4" t="s">
        <v>18</v>
      </c>
      <c r="B33" s="4"/>
      <c r="C33" s="4" t="s">
        <v>290</v>
      </c>
      <c r="D33" s="107" t="s">
        <v>592</v>
      </c>
      <c r="E33" s="108"/>
      <c r="F33" s="4" t="s">
        <v>897</v>
      </c>
      <c r="G33" s="16">
        <v>10.35</v>
      </c>
      <c r="H33" s="16">
        <v>0</v>
      </c>
    </row>
    <row r="34" spans="1:8" ht="12" customHeight="1">
      <c r="A34" s="4"/>
      <c r="B34" s="4"/>
      <c r="C34" s="4"/>
      <c r="D34" s="123" t="s">
        <v>1033</v>
      </c>
      <c r="E34" s="124"/>
      <c r="F34" s="123"/>
      <c r="G34" s="49">
        <v>10.35</v>
      </c>
      <c r="H34" s="27"/>
    </row>
    <row r="35" spans="1:8" ht="12.75">
      <c r="A35" s="4" t="s">
        <v>19</v>
      </c>
      <c r="B35" s="4"/>
      <c r="C35" s="4" t="s">
        <v>291</v>
      </c>
      <c r="D35" s="107" t="s">
        <v>595</v>
      </c>
      <c r="E35" s="108"/>
      <c r="F35" s="4" t="s">
        <v>897</v>
      </c>
      <c r="G35" s="16">
        <v>50.98</v>
      </c>
      <c r="H35" s="16">
        <v>0</v>
      </c>
    </row>
    <row r="36" spans="1:8" ht="12" customHeight="1">
      <c r="A36" s="4"/>
      <c r="B36" s="4"/>
      <c r="C36" s="4"/>
      <c r="D36" s="123" t="s">
        <v>1034</v>
      </c>
      <c r="E36" s="124"/>
      <c r="F36" s="123"/>
      <c r="G36" s="49">
        <v>50.98</v>
      </c>
      <c r="H36" s="27"/>
    </row>
    <row r="37" spans="1:8" ht="12.75">
      <c r="A37" s="4" t="s">
        <v>20</v>
      </c>
      <c r="B37" s="4"/>
      <c r="C37" s="4" t="s">
        <v>291</v>
      </c>
      <c r="D37" s="107" t="s">
        <v>596</v>
      </c>
      <c r="E37" s="108"/>
      <c r="F37" s="4" t="s">
        <v>897</v>
      </c>
      <c r="G37" s="16">
        <v>5.2</v>
      </c>
      <c r="H37" s="16">
        <v>0</v>
      </c>
    </row>
    <row r="38" spans="1:8" ht="12" customHeight="1">
      <c r="A38" s="4"/>
      <c r="B38" s="4"/>
      <c r="C38" s="4"/>
      <c r="D38" s="123" t="s">
        <v>1035</v>
      </c>
      <c r="E38" s="124"/>
      <c r="F38" s="123"/>
      <c r="G38" s="49">
        <v>5.2</v>
      </c>
      <c r="H38" s="27"/>
    </row>
    <row r="39" spans="1:8" ht="12.75">
      <c r="A39" s="4" t="s">
        <v>21</v>
      </c>
      <c r="B39" s="4"/>
      <c r="C39" s="4" t="s">
        <v>292</v>
      </c>
      <c r="D39" s="107" t="s">
        <v>597</v>
      </c>
      <c r="E39" s="108"/>
      <c r="F39" s="4" t="s">
        <v>897</v>
      </c>
      <c r="G39" s="16">
        <v>68</v>
      </c>
      <c r="H39" s="16">
        <v>0</v>
      </c>
    </row>
    <row r="40" spans="1:8" ht="12" customHeight="1">
      <c r="A40" s="4"/>
      <c r="B40" s="4"/>
      <c r="C40" s="4"/>
      <c r="D40" s="123" t="s">
        <v>1036</v>
      </c>
      <c r="E40" s="124"/>
      <c r="F40" s="123"/>
      <c r="G40" s="49">
        <v>68</v>
      </c>
      <c r="H40" s="27"/>
    </row>
    <row r="41" spans="1:8" ht="12.75">
      <c r="A41" s="4" t="s">
        <v>22</v>
      </c>
      <c r="B41" s="4"/>
      <c r="C41" s="4" t="s">
        <v>292</v>
      </c>
      <c r="D41" s="107" t="s">
        <v>598</v>
      </c>
      <c r="E41" s="108"/>
      <c r="F41" s="4" t="s">
        <v>897</v>
      </c>
      <c r="G41" s="16">
        <v>1000</v>
      </c>
      <c r="H41" s="16">
        <v>0</v>
      </c>
    </row>
    <row r="42" spans="1:8" ht="12" customHeight="1">
      <c r="A42" s="4"/>
      <c r="B42" s="4"/>
      <c r="C42" s="4"/>
      <c r="D42" s="123" t="s">
        <v>1037</v>
      </c>
      <c r="E42" s="124"/>
      <c r="F42" s="123"/>
      <c r="G42" s="49">
        <v>1000</v>
      </c>
      <c r="H42" s="27"/>
    </row>
    <row r="43" spans="1:8" ht="12.75">
      <c r="A43" s="4" t="s">
        <v>23</v>
      </c>
      <c r="B43" s="4"/>
      <c r="C43" s="4" t="s">
        <v>293</v>
      </c>
      <c r="D43" s="107" t="s">
        <v>600</v>
      </c>
      <c r="E43" s="108"/>
      <c r="F43" s="4" t="s">
        <v>897</v>
      </c>
      <c r="G43" s="16">
        <v>8.38</v>
      </c>
      <c r="H43" s="16">
        <v>0</v>
      </c>
    </row>
    <row r="44" spans="1:8" ht="12" customHeight="1">
      <c r="A44" s="4"/>
      <c r="B44" s="4"/>
      <c r="C44" s="4"/>
      <c r="D44" s="123" t="s">
        <v>1038</v>
      </c>
      <c r="E44" s="124"/>
      <c r="F44" s="123"/>
      <c r="G44" s="49">
        <v>2.88</v>
      </c>
      <c r="H44" s="27"/>
    </row>
    <row r="45" spans="1:8" ht="12" customHeight="1">
      <c r="A45" s="4"/>
      <c r="B45" s="4"/>
      <c r="C45" s="4"/>
      <c r="D45" s="123" t="s">
        <v>1039</v>
      </c>
      <c r="E45" s="124"/>
      <c r="F45" s="123"/>
      <c r="G45" s="49">
        <v>5.5</v>
      </c>
      <c r="H45" s="27"/>
    </row>
    <row r="46" spans="1:8" ht="12.75">
      <c r="A46" s="4" t="s">
        <v>24</v>
      </c>
      <c r="B46" s="4"/>
      <c r="C46" s="4" t="s">
        <v>294</v>
      </c>
      <c r="D46" s="107" t="s">
        <v>601</v>
      </c>
      <c r="E46" s="108"/>
      <c r="F46" s="4" t="s">
        <v>897</v>
      </c>
      <c r="G46" s="16">
        <v>3.4</v>
      </c>
      <c r="H46" s="16">
        <v>0</v>
      </c>
    </row>
    <row r="47" spans="1:8" ht="12.75">
      <c r="A47" s="4" t="s">
        <v>25</v>
      </c>
      <c r="B47" s="4"/>
      <c r="C47" s="4" t="s">
        <v>295</v>
      </c>
      <c r="D47" s="107" t="s">
        <v>603</v>
      </c>
      <c r="E47" s="108"/>
      <c r="F47" s="4" t="s">
        <v>897</v>
      </c>
      <c r="G47" s="16">
        <v>4.86054</v>
      </c>
      <c r="H47" s="16">
        <v>0</v>
      </c>
    </row>
    <row r="48" spans="1:8" ht="12" customHeight="1">
      <c r="A48" s="4"/>
      <c r="B48" s="4"/>
      <c r="C48" s="4"/>
      <c r="D48" s="123" t="s">
        <v>1040</v>
      </c>
      <c r="E48" s="124"/>
      <c r="F48" s="123"/>
      <c r="G48" s="49">
        <v>4.86054</v>
      </c>
      <c r="H48" s="27"/>
    </row>
    <row r="49" spans="1:8" ht="12.75">
      <c r="A49" s="4" t="s">
        <v>26</v>
      </c>
      <c r="B49" s="4"/>
      <c r="C49" s="4" t="s">
        <v>296</v>
      </c>
      <c r="D49" s="107" t="s">
        <v>604</v>
      </c>
      <c r="E49" s="108"/>
      <c r="F49" s="4" t="s">
        <v>895</v>
      </c>
      <c r="G49" s="16">
        <v>9</v>
      </c>
      <c r="H49" s="16">
        <v>0</v>
      </c>
    </row>
    <row r="50" spans="1:8" ht="12" customHeight="1">
      <c r="A50" s="4"/>
      <c r="B50" s="4"/>
      <c r="C50" s="4"/>
      <c r="D50" s="123" t="s">
        <v>1041</v>
      </c>
      <c r="E50" s="124"/>
      <c r="F50" s="123"/>
      <c r="G50" s="49">
        <v>9</v>
      </c>
      <c r="H50" s="27"/>
    </row>
    <row r="51" spans="1:8" ht="12.75">
      <c r="A51" s="4" t="s">
        <v>27</v>
      </c>
      <c r="B51" s="4"/>
      <c r="C51" s="4" t="s">
        <v>297</v>
      </c>
      <c r="D51" s="107" t="s">
        <v>605</v>
      </c>
      <c r="E51" s="108"/>
      <c r="F51" s="4" t="s">
        <v>898</v>
      </c>
      <c r="G51" s="16">
        <v>0.4</v>
      </c>
      <c r="H51" s="16">
        <v>0</v>
      </c>
    </row>
    <row r="52" spans="1:8" ht="12" customHeight="1">
      <c r="A52" s="4"/>
      <c r="B52" s="4"/>
      <c r="C52" s="4"/>
      <c r="D52" s="123" t="s">
        <v>1042</v>
      </c>
      <c r="E52" s="124"/>
      <c r="F52" s="123"/>
      <c r="G52" s="49">
        <v>0.4</v>
      </c>
      <c r="H52" s="27"/>
    </row>
    <row r="53" spans="1:8" ht="12.75">
      <c r="A53" s="4" t="s">
        <v>28</v>
      </c>
      <c r="B53" s="4"/>
      <c r="C53" s="4" t="s">
        <v>298</v>
      </c>
      <c r="D53" s="107" t="s">
        <v>606</v>
      </c>
      <c r="E53" s="108"/>
      <c r="F53" s="4" t="s">
        <v>897</v>
      </c>
      <c r="G53" s="16">
        <v>13.37922</v>
      </c>
      <c r="H53" s="16">
        <v>0</v>
      </c>
    </row>
    <row r="54" spans="1:8" ht="12" customHeight="1">
      <c r="A54" s="4"/>
      <c r="B54" s="4"/>
      <c r="C54" s="4"/>
      <c r="D54" s="123" t="s">
        <v>1043</v>
      </c>
      <c r="E54" s="124"/>
      <c r="F54" s="123"/>
      <c r="G54" s="49">
        <v>13.37922</v>
      </c>
      <c r="H54" s="27"/>
    </row>
    <row r="55" spans="1:8" ht="12.75">
      <c r="A55" s="4" t="s">
        <v>29</v>
      </c>
      <c r="B55" s="4"/>
      <c r="C55" s="4" t="s">
        <v>299</v>
      </c>
      <c r="D55" s="107" t="s">
        <v>607</v>
      </c>
      <c r="E55" s="108"/>
      <c r="F55" s="4" t="s">
        <v>895</v>
      </c>
      <c r="G55" s="16">
        <v>3.6</v>
      </c>
      <c r="H55" s="16">
        <v>0</v>
      </c>
    </row>
    <row r="56" spans="1:8" ht="12" customHeight="1">
      <c r="A56" s="4"/>
      <c r="B56" s="4"/>
      <c r="C56" s="4"/>
      <c r="D56" s="123" t="s">
        <v>1044</v>
      </c>
      <c r="E56" s="124"/>
      <c r="F56" s="123"/>
      <c r="G56" s="49">
        <v>3.6</v>
      </c>
      <c r="H56" s="27"/>
    </row>
    <row r="57" spans="1:8" ht="12.75">
      <c r="A57" s="4" t="s">
        <v>30</v>
      </c>
      <c r="B57" s="4"/>
      <c r="C57" s="4" t="s">
        <v>300</v>
      </c>
      <c r="D57" s="107" t="s">
        <v>608</v>
      </c>
      <c r="E57" s="108"/>
      <c r="F57" s="4" t="s">
        <v>898</v>
      </c>
      <c r="G57" s="16">
        <v>0.71</v>
      </c>
      <c r="H57" s="16">
        <v>0</v>
      </c>
    </row>
    <row r="58" spans="1:8" ht="12" customHeight="1">
      <c r="A58" s="4"/>
      <c r="B58" s="4"/>
      <c r="C58" s="4"/>
      <c r="D58" s="123" t="s">
        <v>1045</v>
      </c>
      <c r="E58" s="124"/>
      <c r="F58" s="123"/>
      <c r="G58" s="49">
        <v>0.71</v>
      </c>
      <c r="H58" s="27"/>
    </row>
    <row r="59" spans="1:8" ht="12.75">
      <c r="A59" s="4" t="s">
        <v>31</v>
      </c>
      <c r="B59" s="4"/>
      <c r="C59" s="4" t="s">
        <v>301</v>
      </c>
      <c r="D59" s="107" t="s">
        <v>609</v>
      </c>
      <c r="E59" s="108"/>
      <c r="F59" s="4" t="s">
        <v>897</v>
      </c>
      <c r="G59" s="16">
        <v>0.54</v>
      </c>
      <c r="H59" s="16">
        <v>0</v>
      </c>
    </row>
    <row r="60" spans="1:8" ht="12" customHeight="1">
      <c r="A60" s="4"/>
      <c r="B60" s="4"/>
      <c r="C60" s="4"/>
      <c r="D60" s="123" t="s">
        <v>1046</v>
      </c>
      <c r="E60" s="124"/>
      <c r="F60" s="123"/>
      <c r="G60" s="49">
        <v>0.54</v>
      </c>
      <c r="H60" s="27"/>
    </row>
    <row r="61" spans="1:8" ht="12.75">
      <c r="A61" s="4" t="s">
        <v>32</v>
      </c>
      <c r="B61" s="4"/>
      <c r="C61" s="4" t="s">
        <v>302</v>
      </c>
      <c r="D61" s="107" t="s">
        <v>610</v>
      </c>
      <c r="E61" s="108"/>
      <c r="F61" s="4" t="s">
        <v>895</v>
      </c>
      <c r="G61" s="16">
        <v>82.93547</v>
      </c>
      <c r="H61" s="16">
        <v>0</v>
      </c>
    </row>
    <row r="62" spans="1:8" ht="12" customHeight="1">
      <c r="A62" s="4"/>
      <c r="B62" s="4"/>
      <c r="C62" s="4"/>
      <c r="D62" s="123" t="s">
        <v>1047</v>
      </c>
      <c r="E62" s="124"/>
      <c r="F62" s="123"/>
      <c r="G62" s="49">
        <v>82.93547</v>
      </c>
      <c r="H62" s="27"/>
    </row>
    <row r="63" spans="1:8" ht="12.75">
      <c r="A63" s="4" t="s">
        <v>33</v>
      </c>
      <c r="B63" s="4"/>
      <c r="C63" s="4" t="s">
        <v>303</v>
      </c>
      <c r="D63" s="107" t="s">
        <v>611</v>
      </c>
      <c r="E63" s="108"/>
      <c r="F63" s="4" t="s">
        <v>895</v>
      </c>
      <c r="G63" s="16">
        <v>3.6</v>
      </c>
      <c r="H63" s="16">
        <v>0</v>
      </c>
    </row>
    <row r="64" spans="1:8" ht="12" customHeight="1">
      <c r="A64" s="4"/>
      <c r="B64" s="4"/>
      <c r="C64" s="4"/>
      <c r="D64" s="123" t="s">
        <v>1048</v>
      </c>
      <c r="E64" s="124"/>
      <c r="F64" s="123"/>
      <c r="G64" s="49">
        <v>3.6</v>
      </c>
      <c r="H64" s="27"/>
    </row>
    <row r="65" spans="1:8" ht="12.75">
      <c r="A65" s="4" t="s">
        <v>34</v>
      </c>
      <c r="B65" s="4"/>
      <c r="C65" s="4" t="s">
        <v>304</v>
      </c>
      <c r="D65" s="107" t="s">
        <v>613</v>
      </c>
      <c r="E65" s="108"/>
      <c r="F65" s="4" t="s">
        <v>895</v>
      </c>
      <c r="G65" s="16">
        <v>3.27</v>
      </c>
      <c r="H65" s="16">
        <v>0</v>
      </c>
    </row>
    <row r="66" spans="1:8" ht="12" customHeight="1">
      <c r="A66" s="4"/>
      <c r="B66" s="4"/>
      <c r="C66" s="4"/>
      <c r="D66" s="123" t="s">
        <v>1049</v>
      </c>
      <c r="E66" s="124"/>
      <c r="F66" s="123"/>
      <c r="G66" s="49">
        <v>3.27</v>
      </c>
      <c r="H66" s="27"/>
    </row>
    <row r="67" spans="1:8" ht="12.75">
      <c r="A67" s="4" t="s">
        <v>35</v>
      </c>
      <c r="B67" s="4"/>
      <c r="C67" s="4" t="s">
        <v>305</v>
      </c>
      <c r="D67" s="107" t="s">
        <v>614</v>
      </c>
      <c r="E67" s="108"/>
      <c r="F67" s="4" t="s">
        <v>895</v>
      </c>
      <c r="G67" s="16">
        <v>37.295</v>
      </c>
      <c r="H67" s="16">
        <v>0</v>
      </c>
    </row>
    <row r="68" spans="1:8" ht="12" customHeight="1">
      <c r="A68" s="4"/>
      <c r="B68" s="4"/>
      <c r="C68" s="4"/>
      <c r="D68" s="123" t="s">
        <v>1050</v>
      </c>
      <c r="E68" s="124"/>
      <c r="F68" s="123"/>
      <c r="G68" s="49">
        <v>37.295</v>
      </c>
      <c r="H68" s="27"/>
    </row>
    <row r="69" spans="1:8" ht="12.75">
      <c r="A69" s="4" t="s">
        <v>36</v>
      </c>
      <c r="B69" s="4"/>
      <c r="C69" s="4" t="s">
        <v>306</v>
      </c>
      <c r="D69" s="107" t="s">
        <v>615</v>
      </c>
      <c r="E69" s="108"/>
      <c r="F69" s="4" t="s">
        <v>895</v>
      </c>
      <c r="G69" s="16">
        <v>1.925</v>
      </c>
      <c r="H69" s="16">
        <v>0</v>
      </c>
    </row>
    <row r="70" spans="1:8" ht="12" customHeight="1">
      <c r="A70" s="4"/>
      <c r="B70" s="4"/>
      <c r="C70" s="4"/>
      <c r="D70" s="123" t="s">
        <v>1051</v>
      </c>
      <c r="E70" s="124"/>
      <c r="F70" s="123"/>
      <c r="G70" s="49">
        <v>1.925</v>
      </c>
      <c r="H70" s="27"/>
    </row>
    <row r="71" spans="1:8" ht="12.75">
      <c r="A71" s="4" t="s">
        <v>37</v>
      </c>
      <c r="B71" s="4"/>
      <c r="C71" s="4" t="s">
        <v>307</v>
      </c>
      <c r="D71" s="107" t="s">
        <v>616</v>
      </c>
      <c r="E71" s="108"/>
      <c r="F71" s="4" t="s">
        <v>895</v>
      </c>
      <c r="G71" s="16">
        <v>1.925</v>
      </c>
      <c r="H71" s="16">
        <v>0</v>
      </c>
    </row>
    <row r="72" spans="1:8" ht="12" customHeight="1">
      <c r="A72" s="4"/>
      <c r="B72" s="4"/>
      <c r="C72" s="4"/>
      <c r="D72" s="123" t="s">
        <v>1052</v>
      </c>
      <c r="E72" s="124"/>
      <c r="F72" s="123"/>
      <c r="G72" s="49">
        <v>1.925</v>
      </c>
      <c r="H72" s="27"/>
    </row>
    <row r="73" spans="1:8" ht="12.75">
      <c r="A73" s="4" t="s">
        <v>38</v>
      </c>
      <c r="B73" s="4"/>
      <c r="C73" s="4" t="s">
        <v>308</v>
      </c>
      <c r="D73" s="107" t="s">
        <v>617</v>
      </c>
      <c r="E73" s="108"/>
      <c r="F73" s="4" t="s">
        <v>896</v>
      </c>
      <c r="G73" s="16">
        <v>20</v>
      </c>
      <c r="H73" s="16">
        <v>0</v>
      </c>
    </row>
    <row r="74" spans="1:8" ht="12" customHeight="1">
      <c r="A74" s="4"/>
      <c r="B74" s="4"/>
      <c r="C74" s="4"/>
      <c r="D74" s="123" t="s">
        <v>1053</v>
      </c>
      <c r="E74" s="124"/>
      <c r="F74" s="123"/>
      <c r="G74" s="49">
        <v>20</v>
      </c>
      <c r="H74" s="27"/>
    </row>
    <row r="75" spans="1:8" ht="12.75">
      <c r="A75" s="4" t="s">
        <v>39</v>
      </c>
      <c r="B75" s="4"/>
      <c r="C75" s="4" t="s">
        <v>309</v>
      </c>
      <c r="D75" s="107" t="s">
        <v>619</v>
      </c>
      <c r="E75" s="108"/>
      <c r="F75" s="4" t="s">
        <v>895</v>
      </c>
      <c r="G75" s="16">
        <v>6.047</v>
      </c>
      <c r="H75" s="16">
        <v>0</v>
      </c>
    </row>
    <row r="76" spans="1:8" ht="12" customHeight="1">
      <c r="A76" s="4"/>
      <c r="B76" s="4"/>
      <c r="C76" s="4"/>
      <c r="D76" s="123" t="s">
        <v>1054</v>
      </c>
      <c r="E76" s="124"/>
      <c r="F76" s="123"/>
      <c r="G76" s="49">
        <v>6.047</v>
      </c>
      <c r="H76" s="27"/>
    </row>
    <row r="77" spans="1:8" ht="12.75">
      <c r="A77" s="4" t="s">
        <v>40</v>
      </c>
      <c r="B77" s="4"/>
      <c r="C77" s="4" t="s">
        <v>310</v>
      </c>
      <c r="D77" s="107" t="s">
        <v>620</v>
      </c>
      <c r="E77" s="108"/>
      <c r="F77" s="4" t="s">
        <v>895</v>
      </c>
      <c r="G77" s="16">
        <v>12.50125</v>
      </c>
      <c r="H77" s="16">
        <v>0</v>
      </c>
    </row>
    <row r="78" spans="1:8" ht="12" customHeight="1">
      <c r="A78" s="4"/>
      <c r="B78" s="4"/>
      <c r="C78" s="4"/>
      <c r="D78" s="123" t="s">
        <v>1055</v>
      </c>
      <c r="E78" s="124"/>
      <c r="F78" s="123"/>
      <c r="G78" s="49">
        <v>12.50125</v>
      </c>
      <c r="H78" s="27"/>
    </row>
    <row r="79" spans="1:8" ht="12.75">
      <c r="A79" s="4" t="s">
        <v>41</v>
      </c>
      <c r="B79" s="4"/>
      <c r="C79" s="4" t="s">
        <v>311</v>
      </c>
      <c r="D79" s="107" t="s">
        <v>621</v>
      </c>
      <c r="E79" s="108"/>
      <c r="F79" s="4" t="s">
        <v>895</v>
      </c>
      <c r="G79" s="16">
        <v>6.03</v>
      </c>
      <c r="H79" s="16">
        <v>0</v>
      </c>
    </row>
    <row r="80" spans="1:8" ht="12" customHeight="1">
      <c r="A80" s="4"/>
      <c r="B80" s="4"/>
      <c r="C80" s="4"/>
      <c r="D80" s="123" t="s">
        <v>1056</v>
      </c>
      <c r="E80" s="124"/>
      <c r="F80" s="123"/>
      <c r="G80" s="49">
        <v>6.03</v>
      </c>
      <c r="H80" s="27"/>
    </row>
    <row r="81" spans="1:8" ht="12.75">
      <c r="A81" s="4" t="s">
        <v>42</v>
      </c>
      <c r="B81" s="4"/>
      <c r="C81" s="4" t="s">
        <v>312</v>
      </c>
      <c r="D81" s="107" t="s">
        <v>623</v>
      </c>
      <c r="E81" s="108"/>
      <c r="F81" s="4" t="s">
        <v>897</v>
      </c>
      <c r="G81" s="16">
        <v>1.32675</v>
      </c>
      <c r="H81" s="16">
        <v>0</v>
      </c>
    </row>
    <row r="82" spans="1:8" ht="12" customHeight="1">
      <c r="A82" s="4"/>
      <c r="B82" s="4"/>
      <c r="C82" s="4"/>
      <c r="D82" s="123" t="s">
        <v>1057</v>
      </c>
      <c r="E82" s="124"/>
      <c r="F82" s="123"/>
      <c r="G82" s="49">
        <v>1.32675</v>
      </c>
      <c r="H82" s="27"/>
    </row>
    <row r="83" spans="1:8" ht="12.75">
      <c r="A83" s="4" t="s">
        <v>43</v>
      </c>
      <c r="B83" s="4"/>
      <c r="C83" s="4" t="s">
        <v>313</v>
      </c>
      <c r="D83" s="107" t="s">
        <v>624</v>
      </c>
      <c r="E83" s="108"/>
      <c r="F83" s="4" t="s">
        <v>899</v>
      </c>
      <c r="G83" s="16">
        <v>18.31</v>
      </c>
      <c r="H83" s="16">
        <v>0</v>
      </c>
    </row>
    <row r="84" spans="1:8" ht="12" customHeight="1">
      <c r="A84" s="4"/>
      <c r="B84" s="4"/>
      <c r="C84" s="4"/>
      <c r="D84" s="123" t="s">
        <v>1058</v>
      </c>
      <c r="E84" s="124"/>
      <c r="F84" s="123"/>
      <c r="G84" s="49">
        <v>18.31</v>
      </c>
      <c r="H84" s="27"/>
    </row>
    <row r="85" spans="1:8" ht="12.75">
      <c r="A85" s="4" t="s">
        <v>44</v>
      </c>
      <c r="B85" s="4"/>
      <c r="C85" s="4" t="s">
        <v>314</v>
      </c>
      <c r="D85" s="107" t="s">
        <v>625</v>
      </c>
      <c r="E85" s="108"/>
      <c r="F85" s="4" t="s">
        <v>899</v>
      </c>
      <c r="G85" s="16">
        <v>18.31</v>
      </c>
      <c r="H85" s="16">
        <v>0</v>
      </c>
    </row>
    <row r="86" spans="1:8" ht="12" customHeight="1">
      <c r="A86" s="4"/>
      <c r="B86" s="4"/>
      <c r="C86" s="4"/>
      <c r="D86" s="123" t="s">
        <v>1058</v>
      </c>
      <c r="E86" s="124"/>
      <c r="F86" s="123"/>
      <c r="G86" s="49">
        <v>18.31</v>
      </c>
      <c r="H86" s="27"/>
    </row>
    <row r="87" spans="1:8" ht="12.75">
      <c r="A87" s="4" t="s">
        <v>45</v>
      </c>
      <c r="B87" s="4"/>
      <c r="C87" s="4" t="s">
        <v>315</v>
      </c>
      <c r="D87" s="107" t="s">
        <v>626</v>
      </c>
      <c r="E87" s="108"/>
      <c r="F87" s="4" t="s">
        <v>898</v>
      </c>
      <c r="G87" s="16">
        <v>0.35</v>
      </c>
      <c r="H87" s="16">
        <v>0</v>
      </c>
    </row>
    <row r="88" spans="1:8" ht="12" customHeight="1">
      <c r="A88" s="4"/>
      <c r="B88" s="4"/>
      <c r="C88" s="4"/>
      <c r="D88" s="123" t="s">
        <v>1059</v>
      </c>
      <c r="E88" s="124"/>
      <c r="F88" s="123"/>
      <c r="G88" s="49">
        <v>0.35</v>
      </c>
      <c r="H88" s="27"/>
    </row>
    <row r="89" spans="1:8" ht="12.75">
      <c r="A89" s="4" t="s">
        <v>46</v>
      </c>
      <c r="B89" s="4"/>
      <c r="C89" s="4" t="s">
        <v>316</v>
      </c>
      <c r="D89" s="107" t="s">
        <v>628</v>
      </c>
      <c r="E89" s="108"/>
      <c r="F89" s="4" t="s">
        <v>895</v>
      </c>
      <c r="G89" s="16">
        <v>26.10145</v>
      </c>
      <c r="H89" s="16">
        <v>0</v>
      </c>
    </row>
    <row r="90" spans="1:8" ht="12" customHeight="1">
      <c r="A90" s="4"/>
      <c r="B90" s="4"/>
      <c r="C90" s="4"/>
      <c r="D90" s="123" t="s">
        <v>1060</v>
      </c>
      <c r="E90" s="124"/>
      <c r="F90" s="123"/>
      <c r="G90" s="49">
        <v>26.10145</v>
      </c>
      <c r="H90" s="27"/>
    </row>
    <row r="91" spans="1:8" ht="12.75">
      <c r="A91" s="4" t="s">
        <v>47</v>
      </c>
      <c r="B91" s="4"/>
      <c r="C91" s="4" t="s">
        <v>317</v>
      </c>
      <c r="D91" s="107" t="s">
        <v>629</v>
      </c>
      <c r="E91" s="108"/>
      <c r="F91" s="4" t="s">
        <v>895</v>
      </c>
      <c r="G91" s="16">
        <v>26.10135</v>
      </c>
      <c r="H91" s="16">
        <v>0</v>
      </c>
    </row>
    <row r="92" spans="1:8" ht="12" customHeight="1">
      <c r="A92" s="4"/>
      <c r="B92" s="4"/>
      <c r="C92" s="4"/>
      <c r="D92" s="123" t="s">
        <v>1061</v>
      </c>
      <c r="E92" s="124"/>
      <c r="F92" s="123"/>
      <c r="G92" s="49">
        <v>26.10135</v>
      </c>
      <c r="H92" s="27"/>
    </row>
    <row r="93" spans="1:8" ht="12.75">
      <c r="A93" s="4" t="s">
        <v>48</v>
      </c>
      <c r="B93" s="4"/>
      <c r="C93" s="4" t="s">
        <v>318</v>
      </c>
      <c r="D93" s="107" t="s">
        <v>630</v>
      </c>
      <c r="E93" s="108"/>
      <c r="F93" s="4" t="s">
        <v>899</v>
      </c>
      <c r="G93" s="16">
        <v>18.001</v>
      </c>
      <c r="H93" s="16">
        <v>0</v>
      </c>
    </row>
    <row r="94" spans="1:8" ht="12" customHeight="1">
      <c r="A94" s="4"/>
      <c r="B94" s="4"/>
      <c r="C94" s="4"/>
      <c r="D94" s="123" t="s">
        <v>1062</v>
      </c>
      <c r="E94" s="124"/>
      <c r="F94" s="123"/>
      <c r="G94" s="49">
        <v>18.001</v>
      </c>
      <c r="H94" s="27"/>
    </row>
    <row r="95" spans="1:8" ht="12.75">
      <c r="A95" s="4" t="s">
        <v>49</v>
      </c>
      <c r="B95" s="4"/>
      <c r="C95" s="4" t="s">
        <v>316</v>
      </c>
      <c r="D95" s="107" t="s">
        <v>631</v>
      </c>
      <c r="E95" s="108"/>
      <c r="F95" s="4" t="s">
        <v>895</v>
      </c>
      <c r="G95" s="16">
        <v>71.4</v>
      </c>
      <c r="H95" s="16">
        <v>0</v>
      </c>
    </row>
    <row r="96" spans="1:8" ht="12" customHeight="1">
      <c r="A96" s="4"/>
      <c r="B96" s="4"/>
      <c r="C96" s="4"/>
      <c r="D96" s="123" t="s">
        <v>1063</v>
      </c>
      <c r="E96" s="124"/>
      <c r="F96" s="123"/>
      <c r="G96" s="49">
        <v>71.4</v>
      </c>
      <c r="H96" s="27"/>
    </row>
    <row r="97" spans="1:8" ht="12.75">
      <c r="A97" s="4" t="s">
        <v>50</v>
      </c>
      <c r="B97" s="4"/>
      <c r="C97" s="4" t="s">
        <v>319</v>
      </c>
      <c r="D97" s="107" t="s">
        <v>633</v>
      </c>
      <c r="E97" s="108"/>
      <c r="F97" s="4" t="s">
        <v>895</v>
      </c>
      <c r="G97" s="16">
        <v>26.10145</v>
      </c>
      <c r="H97" s="16">
        <v>0</v>
      </c>
    </row>
    <row r="98" spans="1:8" ht="12" customHeight="1">
      <c r="A98" s="4"/>
      <c r="B98" s="4"/>
      <c r="C98" s="4"/>
      <c r="D98" s="123" t="s">
        <v>1060</v>
      </c>
      <c r="E98" s="124"/>
      <c r="F98" s="123"/>
      <c r="G98" s="49">
        <v>26.10145</v>
      </c>
      <c r="H98" s="27"/>
    </row>
    <row r="99" spans="1:8" ht="12.75">
      <c r="A99" s="6" t="s">
        <v>51</v>
      </c>
      <c r="B99" s="6"/>
      <c r="C99" s="6" t="s">
        <v>320</v>
      </c>
      <c r="D99" s="111" t="s">
        <v>1288</v>
      </c>
      <c r="E99" s="112"/>
      <c r="F99" s="6" t="s">
        <v>895</v>
      </c>
      <c r="G99" s="17">
        <v>27.95625</v>
      </c>
      <c r="H99" s="17">
        <v>0</v>
      </c>
    </row>
    <row r="100" spans="1:8" ht="12" customHeight="1">
      <c r="A100" s="6"/>
      <c r="B100" s="6"/>
      <c r="C100" s="6"/>
      <c r="D100" s="125" t="s">
        <v>1064</v>
      </c>
      <c r="E100" s="126"/>
      <c r="F100" s="125"/>
      <c r="G100" s="50">
        <v>27.95625</v>
      </c>
      <c r="H100" s="29"/>
    </row>
    <row r="101" spans="1:8" ht="12.75">
      <c r="A101" s="6" t="s">
        <v>52</v>
      </c>
      <c r="B101" s="6"/>
      <c r="C101" s="6" t="s">
        <v>321</v>
      </c>
      <c r="D101" s="111" t="s">
        <v>634</v>
      </c>
      <c r="E101" s="112"/>
      <c r="F101" s="6" t="s">
        <v>896</v>
      </c>
      <c r="G101" s="17">
        <v>19</v>
      </c>
      <c r="H101" s="17">
        <v>0</v>
      </c>
    </row>
    <row r="102" spans="1:8" ht="12" customHeight="1">
      <c r="A102" s="6"/>
      <c r="B102" s="6"/>
      <c r="C102" s="6"/>
      <c r="D102" s="125" t="s">
        <v>1065</v>
      </c>
      <c r="E102" s="126"/>
      <c r="F102" s="125"/>
      <c r="G102" s="50">
        <v>19</v>
      </c>
      <c r="H102" s="29"/>
    </row>
    <row r="103" spans="1:8" ht="12.75">
      <c r="A103" s="4" t="s">
        <v>53</v>
      </c>
      <c r="B103" s="4"/>
      <c r="C103" s="4" t="s">
        <v>322</v>
      </c>
      <c r="D103" s="107" t="s">
        <v>636</v>
      </c>
      <c r="E103" s="108"/>
      <c r="F103" s="4" t="s">
        <v>895</v>
      </c>
      <c r="G103" s="16">
        <v>34.775</v>
      </c>
      <c r="H103" s="16">
        <v>0</v>
      </c>
    </row>
    <row r="104" spans="1:8" ht="12" customHeight="1">
      <c r="A104" s="4"/>
      <c r="B104" s="4"/>
      <c r="C104" s="4"/>
      <c r="D104" s="123" t="s">
        <v>1066</v>
      </c>
      <c r="E104" s="124"/>
      <c r="F104" s="123"/>
      <c r="G104" s="49">
        <v>34.775</v>
      </c>
      <c r="H104" s="27"/>
    </row>
    <row r="105" spans="1:8" ht="12.75">
      <c r="A105" s="4" t="s">
        <v>54</v>
      </c>
      <c r="B105" s="4"/>
      <c r="C105" s="4" t="s">
        <v>323</v>
      </c>
      <c r="D105" s="107" t="s">
        <v>637</v>
      </c>
      <c r="E105" s="108"/>
      <c r="F105" s="4" t="s">
        <v>895</v>
      </c>
      <c r="G105" s="16">
        <v>49.8554</v>
      </c>
      <c r="H105" s="16">
        <v>0</v>
      </c>
    </row>
    <row r="106" spans="1:8" ht="12" customHeight="1">
      <c r="A106" s="4"/>
      <c r="B106" s="4"/>
      <c r="C106" s="4"/>
      <c r="D106" s="123" t="s">
        <v>1067</v>
      </c>
      <c r="E106" s="124"/>
      <c r="F106" s="123"/>
      <c r="G106" s="49">
        <v>85.3554</v>
      </c>
      <c r="H106" s="27"/>
    </row>
    <row r="107" spans="1:8" ht="12" customHeight="1">
      <c r="A107" s="4"/>
      <c r="B107" s="4"/>
      <c r="C107" s="4"/>
      <c r="D107" s="123" t="s">
        <v>1068</v>
      </c>
      <c r="E107" s="124"/>
      <c r="F107" s="123"/>
      <c r="G107" s="49">
        <v>-35.5</v>
      </c>
      <c r="H107" s="27"/>
    </row>
    <row r="108" spans="1:8" ht="12.75">
      <c r="A108" s="4" t="s">
        <v>55</v>
      </c>
      <c r="B108" s="4"/>
      <c r="C108" s="4" t="s">
        <v>324</v>
      </c>
      <c r="D108" s="107" t="s">
        <v>638</v>
      </c>
      <c r="E108" s="108"/>
      <c r="F108" s="4" t="s">
        <v>895</v>
      </c>
      <c r="G108" s="16">
        <v>9.24</v>
      </c>
      <c r="H108" s="16">
        <v>0</v>
      </c>
    </row>
    <row r="109" spans="1:8" ht="12" customHeight="1">
      <c r="A109" s="4"/>
      <c r="B109" s="4"/>
      <c r="C109" s="4"/>
      <c r="D109" s="123" t="s">
        <v>1069</v>
      </c>
      <c r="E109" s="124"/>
      <c r="F109" s="123"/>
      <c r="G109" s="49">
        <v>9.24</v>
      </c>
      <c r="H109" s="27"/>
    </row>
    <row r="110" spans="1:8" ht="12.75">
      <c r="A110" s="4" t="s">
        <v>56</v>
      </c>
      <c r="B110" s="4"/>
      <c r="C110" s="4" t="s">
        <v>325</v>
      </c>
      <c r="D110" s="107" t="s">
        <v>639</v>
      </c>
      <c r="E110" s="108"/>
      <c r="F110" s="4" t="s">
        <v>895</v>
      </c>
      <c r="G110" s="16">
        <v>18.865</v>
      </c>
      <c r="H110" s="16">
        <v>0</v>
      </c>
    </row>
    <row r="111" spans="1:8" ht="12" customHeight="1">
      <c r="A111" s="4"/>
      <c r="B111" s="4"/>
      <c r="C111" s="4"/>
      <c r="D111" s="123" t="s">
        <v>1070</v>
      </c>
      <c r="E111" s="124"/>
      <c r="F111" s="123"/>
      <c r="G111" s="49">
        <v>18.865</v>
      </c>
      <c r="H111" s="27"/>
    </row>
    <row r="112" spans="1:8" ht="12.75">
      <c r="A112" s="4" t="s">
        <v>57</v>
      </c>
      <c r="B112" s="4"/>
      <c r="C112" s="4" t="s">
        <v>326</v>
      </c>
      <c r="D112" s="107" t="s">
        <v>640</v>
      </c>
      <c r="E112" s="108"/>
      <c r="F112" s="4" t="s">
        <v>900</v>
      </c>
      <c r="G112" s="16">
        <v>55</v>
      </c>
      <c r="H112" s="16">
        <v>0</v>
      </c>
    </row>
    <row r="113" spans="1:8" ht="12" customHeight="1">
      <c r="A113" s="4"/>
      <c r="B113" s="4"/>
      <c r="C113" s="4"/>
      <c r="D113" s="123" t="s">
        <v>1071</v>
      </c>
      <c r="E113" s="124"/>
      <c r="F113" s="123"/>
      <c r="G113" s="49">
        <v>55</v>
      </c>
      <c r="H113" s="27"/>
    </row>
    <row r="114" spans="1:8" ht="12.75">
      <c r="A114" s="4" t="s">
        <v>58</v>
      </c>
      <c r="B114" s="4"/>
      <c r="C114" s="4" t="s">
        <v>327</v>
      </c>
      <c r="D114" s="107" t="s">
        <v>641</v>
      </c>
      <c r="E114" s="108"/>
      <c r="F114" s="4" t="s">
        <v>895</v>
      </c>
      <c r="G114" s="16">
        <v>66.584</v>
      </c>
      <c r="H114" s="16">
        <v>0</v>
      </c>
    </row>
    <row r="115" spans="1:8" ht="12" customHeight="1">
      <c r="A115" s="4"/>
      <c r="B115" s="4"/>
      <c r="C115" s="4"/>
      <c r="D115" s="123" t="s">
        <v>1072</v>
      </c>
      <c r="E115" s="124"/>
      <c r="F115" s="123"/>
      <c r="G115" s="49">
        <v>66.584</v>
      </c>
      <c r="H115" s="27"/>
    </row>
    <row r="116" spans="1:8" ht="12.75">
      <c r="A116" s="4" t="s">
        <v>59</v>
      </c>
      <c r="B116" s="4"/>
      <c r="C116" s="4" t="s">
        <v>328</v>
      </c>
      <c r="D116" s="107" t="s">
        <v>643</v>
      </c>
      <c r="E116" s="108"/>
      <c r="F116" s="4" t="s">
        <v>899</v>
      </c>
      <c r="G116" s="16">
        <v>49.6</v>
      </c>
      <c r="H116" s="16">
        <v>0</v>
      </c>
    </row>
    <row r="117" spans="1:8" ht="12" customHeight="1">
      <c r="A117" s="4"/>
      <c r="B117" s="4"/>
      <c r="C117" s="4"/>
      <c r="D117" s="123" t="s">
        <v>1073</v>
      </c>
      <c r="E117" s="124"/>
      <c r="F117" s="123"/>
      <c r="G117" s="49">
        <v>49.6</v>
      </c>
      <c r="H117" s="27"/>
    </row>
    <row r="118" spans="1:8" ht="12.75">
      <c r="A118" s="4" t="s">
        <v>60</v>
      </c>
      <c r="B118" s="4"/>
      <c r="C118" s="4" t="s">
        <v>329</v>
      </c>
      <c r="D118" s="107" t="s">
        <v>644</v>
      </c>
      <c r="E118" s="108"/>
      <c r="F118" s="4" t="s">
        <v>899</v>
      </c>
      <c r="G118" s="16">
        <v>11</v>
      </c>
      <c r="H118" s="16">
        <v>0</v>
      </c>
    </row>
    <row r="119" spans="1:8" ht="12" customHeight="1">
      <c r="A119" s="4"/>
      <c r="B119" s="4"/>
      <c r="C119" s="4"/>
      <c r="D119" s="123" t="s">
        <v>1074</v>
      </c>
      <c r="E119" s="124"/>
      <c r="F119" s="123"/>
      <c r="G119" s="49">
        <v>11</v>
      </c>
      <c r="H119" s="27"/>
    </row>
    <row r="120" spans="1:8" ht="12.75">
      <c r="A120" s="4" t="s">
        <v>61</v>
      </c>
      <c r="B120" s="4"/>
      <c r="C120" s="4" t="s">
        <v>330</v>
      </c>
      <c r="D120" s="107" t="s">
        <v>645</v>
      </c>
      <c r="E120" s="108"/>
      <c r="F120" s="4" t="s">
        <v>895</v>
      </c>
      <c r="G120" s="16">
        <v>44.25</v>
      </c>
      <c r="H120" s="16">
        <v>0</v>
      </c>
    </row>
    <row r="121" spans="1:8" ht="12" customHeight="1">
      <c r="A121" s="4"/>
      <c r="B121" s="4"/>
      <c r="C121" s="4"/>
      <c r="D121" s="123" t="s">
        <v>1075</v>
      </c>
      <c r="E121" s="124"/>
      <c r="F121" s="123"/>
      <c r="G121" s="49">
        <v>44.25</v>
      </c>
      <c r="H121" s="27"/>
    </row>
    <row r="122" spans="1:8" ht="12.75">
      <c r="A122" s="4" t="s">
        <v>62</v>
      </c>
      <c r="B122" s="4"/>
      <c r="C122" s="4" t="s">
        <v>331</v>
      </c>
      <c r="D122" s="107" t="s">
        <v>646</v>
      </c>
      <c r="E122" s="108"/>
      <c r="F122" s="4" t="s">
        <v>895</v>
      </c>
      <c r="G122" s="16">
        <v>34.775</v>
      </c>
      <c r="H122" s="16">
        <v>0</v>
      </c>
    </row>
    <row r="123" spans="1:8" ht="12" customHeight="1">
      <c r="A123" s="4"/>
      <c r="B123" s="4"/>
      <c r="C123" s="4"/>
      <c r="D123" s="123" t="s">
        <v>1066</v>
      </c>
      <c r="E123" s="124"/>
      <c r="F123" s="123"/>
      <c r="G123" s="49">
        <v>34.775</v>
      </c>
      <c r="H123" s="27"/>
    </row>
    <row r="124" spans="1:8" ht="12.75">
      <c r="A124" s="4" t="s">
        <v>63</v>
      </c>
      <c r="B124" s="4"/>
      <c r="C124" s="4" t="s">
        <v>332</v>
      </c>
      <c r="D124" s="107" t="s">
        <v>647</v>
      </c>
      <c r="E124" s="108"/>
      <c r="F124" s="4" t="s">
        <v>895</v>
      </c>
      <c r="G124" s="16">
        <v>5.04</v>
      </c>
      <c r="H124" s="16">
        <v>0</v>
      </c>
    </row>
    <row r="125" spans="1:8" ht="12" customHeight="1">
      <c r="A125" s="4"/>
      <c r="B125" s="4"/>
      <c r="C125" s="4"/>
      <c r="D125" s="123" t="s">
        <v>1076</v>
      </c>
      <c r="E125" s="124"/>
      <c r="F125" s="123"/>
      <c r="G125" s="49">
        <v>5.04</v>
      </c>
      <c r="H125" s="27"/>
    </row>
    <row r="126" spans="1:8" ht="12.75">
      <c r="A126" s="4" t="s">
        <v>64</v>
      </c>
      <c r="B126" s="4"/>
      <c r="C126" s="4" t="s">
        <v>333</v>
      </c>
      <c r="D126" s="107" t="s">
        <v>648</v>
      </c>
      <c r="E126" s="108"/>
      <c r="F126" s="4" t="s">
        <v>895</v>
      </c>
      <c r="G126" s="16">
        <v>3.09</v>
      </c>
      <c r="H126" s="16">
        <v>0</v>
      </c>
    </row>
    <row r="127" spans="1:8" ht="12" customHeight="1">
      <c r="A127" s="4"/>
      <c r="B127" s="4"/>
      <c r="C127" s="4"/>
      <c r="D127" s="123" t="s">
        <v>1077</v>
      </c>
      <c r="E127" s="124"/>
      <c r="F127" s="123"/>
      <c r="G127" s="49">
        <v>3.09</v>
      </c>
      <c r="H127" s="27"/>
    </row>
    <row r="128" spans="1:8" ht="12.75">
      <c r="A128" s="4" t="s">
        <v>65</v>
      </c>
      <c r="B128" s="4"/>
      <c r="C128" s="4" t="s">
        <v>334</v>
      </c>
      <c r="D128" s="107" t="s">
        <v>649</v>
      </c>
      <c r="E128" s="108"/>
      <c r="F128" s="4" t="s">
        <v>895</v>
      </c>
      <c r="G128" s="16">
        <v>11.7</v>
      </c>
      <c r="H128" s="16">
        <v>0</v>
      </c>
    </row>
    <row r="129" spans="1:8" ht="12" customHeight="1">
      <c r="A129" s="4"/>
      <c r="B129" s="4"/>
      <c r="C129" s="4"/>
      <c r="D129" s="123" t="s">
        <v>1078</v>
      </c>
      <c r="E129" s="124"/>
      <c r="F129" s="123"/>
      <c r="G129" s="49">
        <v>11.7</v>
      </c>
      <c r="H129" s="27"/>
    </row>
    <row r="130" spans="1:8" ht="12.75">
      <c r="A130" s="4" t="s">
        <v>66</v>
      </c>
      <c r="B130" s="4"/>
      <c r="C130" s="4" t="s">
        <v>335</v>
      </c>
      <c r="D130" s="107" t="s">
        <v>650</v>
      </c>
      <c r="E130" s="108"/>
      <c r="F130" s="4" t="s">
        <v>899</v>
      </c>
      <c r="G130" s="16">
        <v>11</v>
      </c>
      <c r="H130" s="16">
        <v>0</v>
      </c>
    </row>
    <row r="131" spans="1:8" ht="12" customHeight="1">
      <c r="A131" s="4"/>
      <c r="B131" s="4"/>
      <c r="C131" s="4"/>
      <c r="D131" s="123" t="s">
        <v>1074</v>
      </c>
      <c r="E131" s="124"/>
      <c r="F131" s="123"/>
      <c r="G131" s="49">
        <v>11</v>
      </c>
      <c r="H131" s="27"/>
    </row>
    <row r="132" spans="1:8" ht="12.75">
      <c r="A132" s="4" t="s">
        <v>67</v>
      </c>
      <c r="B132" s="4"/>
      <c r="C132" s="4" t="s">
        <v>336</v>
      </c>
      <c r="D132" s="107" t="s">
        <v>651</v>
      </c>
      <c r="E132" s="108"/>
      <c r="F132" s="4" t="s">
        <v>895</v>
      </c>
      <c r="G132" s="16">
        <v>23.68315</v>
      </c>
      <c r="H132" s="16">
        <v>0</v>
      </c>
    </row>
    <row r="133" spans="1:8" ht="12" customHeight="1">
      <c r="A133" s="4"/>
      <c r="B133" s="4"/>
      <c r="C133" s="4"/>
      <c r="D133" s="123" t="s">
        <v>1079</v>
      </c>
      <c r="E133" s="124"/>
      <c r="F133" s="123"/>
      <c r="G133" s="49">
        <v>23.68315</v>
      </c>
      <c r="H133" s="27"/>
    </row>
    <row r="134" spans="1:8" ht="12.75">
      <c r="A134" s="4" t="s">
        <v>68</v>
      </c>
      <c r="B134" s="4"/>
      <c r="C134" s="4" t="s">
        <v>337</v>
      </c>
      <c r="D134" s="107" t="s">
        <v>652</v>
      </c>
      <c r="E134" s="108"/>
      <c r="F134" s="4" t="s">
        <v>895</v>
      </c>
      <c r="G134" s="16">
        <v>18.865</v>
      </c>
      <c r="H134" s="16">
        <v>0</v>
      </c>
    </row>
    <row r="135" spans="1:8" ht="12" customHeight="1">
      <c r="A135" s="4"/>
      <c r="B135" s="4"/>
      <c r="C135" s="4"/>
      <c r="D135" s="123" t="s">
        <v>1070</v>
      </c>
      <c r="E135" s="124"/>
      <c r="F135" s="123"/>
      <c r="G135" s="49">
        <v>18.865</v>
      </c>
      <c r="H135" s="27"/>
    </row>
    <row r="136" spans="1:8" ht="12.75">
      <c r="A136" s="4" t="s">
        <v>69</v>
      </c>
      <c r="B136" s="4"/>
      <c r="C136" s="4" t="s">
        <v>338</v>
      </c>
      <c r="D136" s="107" t="s">
        <v>653</v>
      </c>
      <c r="E136" s="108"/>
      <c r="F136" s="4" t="s">
        <v>895</v>
      </c>
      <c r="G136" s="16">
        <v>13.02</v>
      </c>
      <c r="H136" s="16">
        <v>0</v>
      </c>
    </row>
    <row r="137" spans="1:8" ht="12" customHeight="1">
      <c r="A137" s="4"/>
      <c r="B137" s="4"/>
      <c r="C137" s="4"/>
      <c r="D137" s="123" t="s">
        <v>1080</v>
      </c>
      <c r="E137" s="124"/>
      <c r="F137" s="123"/>
      <c r="G137" s="49">
        <v>13.02</v>
      </c>
      <c r="H137" s="27"/>
    </row>
    <row r="138" spans="1:8" ht="12.75">
      <c r="A138" s="4" t="s">
        <v>70</v>
      </c>
      <c r="B138" s="4"/>
      <c r="C138" s="4" t="s">
        <v>339</v>
      </c>
      <c r="D138" s="107" t="s">
        <v>655</v>
      </c>
      <c r="E138" s="108"/>
      <c r="F138" s="4" t="s">
        <v>895</v>
      </c>
      <c r="G138" s="16">
        <v>83.58741</v>
      </c>
      <c r="H138" s="16">
        <v>0</v>
      </c>
    </row>
    <row r="139" spans="1:8" ht="12" customHeight="1">
      <c r="A139" s="4"/>
      <c r="B139" s="4"/>
      <c r="C139" s="4"/>
      <c r="D139" s="123" t="s">
        <v>1081</v>
      </c>
      <c r="E139" s="124"/>
      <c r="F139" s="123"/>
      <c r="G139" s="49">
        <v>83.58741</v>
      </c>
      <c r="H139" s="27"/>
    </row>
    <row r="140" spans="1:8" ht="12.75">
      <c r="A140" s="4" t="s">
        <v>71</v>
      </c>
      <c r="B140" s="4"/>
      <c r="C140" s="4" t="s">
        <v>340</v>
      </c>
      <c r="D140" s="107" t="s">
        <v>656</v>
      </c>
      <c r="E140" s="108"/>
      <c r="F140" s="4" t="s">
        <v>898</v>
      </c>
      <c r="G140" s="16">
        <v>0.20064</v>
      </c>
      <c r="H140" s="16">
        <v>0</v>
      </c>
    </row>
    <row r="141" spans="1:8" ht="12" customHeight="1">
      <c r="A141" s="4"/>
      <c r="B141" s="4"/>
      <c r="C141" s="4"/>
      <c r="D141" s="123" t="s">
        <v>1082</v>
      </c>
      <c r="E141" s="124"/>
      <c r="F141" s="123"/>
      <c r="G141" s="49">
        <v>0.20064</v>
      </c>
      <c r="H141" s="27"/>
    </row>
    <row r="142" spans="1:8" ht="12.75">
      <c r="A142" s="4" t="s">
        <v>72</v>
      </c>
      <c r="B142" s="4"/>
      <c r="C142" s="4" t="s">
        <v>341</v>
      </c>
      <c r="D142" s="107" t="s">
        <v>658</v>
      </c>
      <c r="E142" s="108"/>
      <c r="F142" s="4" t="s">
        <v>896</v>
      </c>
      <c r="G142" s="16">
        <v>3</v>
      </c>
      <c r="H142" s="16">
        <v>0</v>
      </c>
    </row>
    <row r="143" spans="1:8" ht="12" customHeight="1">
      <c r="A143" s="4"/>
      <c r="B143" s="4"/>
      <c r="C143" s="4"/>
      <c r="D143" s="123" t="s">
        <v>1083</v>
      </c>
      <c r="E143" s="124"/>
      <c r="F143" s="123"/>
      <c r="G143" s="49">
        <v>3</v>
      </c>
      <c r="H143" s="27"/>
    </row>
    <row r="144" spans="1:8" ht="12.75">
      <c r="A144" s="4" t="s">
        <v>73</v>
      </c>
      <c r="B144" s="4"/>
      <c r="C144" s="4" t="s">
        <v>343</v>
      </c>
      <c r="D144" s="107" t="s">
        <v>660</v>
      </c>
      <c r="E144" s="108"/>
      <c r="F144" s="4" t="s">
        <v>895</v>
      </c>
      <c r="G144" s="16">
        <v>93.19911</v>
      </c>
      <c r="H144" s="16">
        <v>0</v>
      </c>
    </row>
    <row r="145" spans="1:8" ht="12" customHeight="1">
      <c r="A145" s="4"/>
      <c r="B145" s="4"/>
      <c r="C145" s="4"/>
      <c r="D145" s="123" t="s">
        <v>1084</v>
      </c>
      <c r="E145" s="124"/>
      <c r="F145" s="123"/>
      <c r="G145" s="49">
        <v>93.19911</v>
      </c>
      <c r="H145" s="27"/>
    </row>
    <row r="146" spans="1:8" ht="12.75">
      <c r="A146" s="4" t="s">
        <v>74</v>
      </c>
      <c r="B146" s="4"/>
      <c r="C146" s="4" t="s">
        <v>344</v>
      </c>
      <c r="D146" s="107" t="s">
        <v>1289</v>
      </c>
      <c r="E146" s="108"/>
      <c r="F146" s="4" t="s">
        <v>895</v>
      </c>
      <c r="G146" s="16">
        <v>93.2</v>
      </c>
      <c r="H146" s="16">
        <v>0</v>
      </c>
    </row>
    <row r="147" spans="1:8" ht="12" customHeight="1">
      <c r="A147" s="4"/>
      <c r="B147" s="4"/>
      <c r="C147" s="4"/>
      <c r="D147" s="123" t="s">
        <v>1085</v>
      </c>
      <c r="E147" s="124"/>
      <c r="F147" s="123"/>
      <c r="G147" s="49">
        <v>93.2</v>
      </c>
      <c r="H147" s="27"/>
    </row>
    <row r="148" spans="1:8" ht="12.75">
      <c r="A148" s="4" t="s">
        <v>75</v>
      </c>
      <c r="B148" s="4"/>
      <c r="C148" s="4" t="s">
        <v>345</v>
      </c>
      <c r="D148" s="107" t="s">
        <v>661</v>
      </c>
      <c r="E148" s="108"/>
      <c r="F148" s="4" t="s">
        <v>895</v>
      </c>
      <c r="G148" s="16">
        <v>38.54</v>
      </c>
      <c r="H148" s="16">
        <v>0</v>
      </c>
    </row>
    <row r="149" spans="1:8" ht="12" customHeight="1">
      <c r="A149" s="4"/>
      <c r="B149" s="4"/>
      <c r="C149" s="4"/>
      <c r="D149" s="123" t="s">
        <v>1086</v>
      </c>
      <c r="E149" s="124"/>
      <c r="F149" s="123"/>
      <c r="G149" s="49">
        <v>38.54</v>
      </c>
      <c r="H149" s="27"/>
    </row>
    <row r="150" spans="1:8" ht="12.75">
      <c r="A150" s="4" t="s">
        <v>76</v>
      </c>
      <c r="B150" s="4"/>
      <c r="C150" s="4" t="s">
        <v>346</v>
      </c>
      <c r="D150" s="107" t="s">
        <v>662</v>
      </c>
      <c r="E150" s="108"/>
      <c r="F150" s="4" t="s">
        <v>895</v>
      </c>
      <c r="G150" s="16">
        <v>28.9</v>
      </c>
      <c r="H150" s="16">
        <v>0</v>
      </c>
    </row>
    <row r="151" spans="1:8" ht="12" customHeight="1">
      <c r="A151" s="4"/>
      <c r="B151" s="4"/>
      <c r="C151" s="4"/>
      <c r="D151" s="123" t="s">
        <v>1087</v>
      </c>
      <c r="E151" s="124"/>
      <c r="F151" s="123"/>
      <c r="G151" s="49">
        <v>28.9</v>
      </c>
      <c r="H151" s="27"/>
    </row>
    <row r="152" spans="1:8" ht="12.75">
      <c r="A152" s="4" t="s">
        <v>77</v>
      </c>
      <c r="B152" s="4"/>
      <c r="C152" s="4" t="s">
        <v>347</v>
      </c>
      <c r="D152" s="107" t="s">
        <v>663</v>
      </c>
      <c r="E152" s="108"/>
      <c r="F152" s="4" t="s">
        <v>895</v>
      </c>
      <c r="G152" s="16">
        <v>12.23</v>
      </c>
      <c r="H152" s="16">
        <v>0</v>
      </c>
    </row>
    <row r="153" spans="1:8" ht="12" customHeight="1">
      <c r="A153" s="4"/>
      <c r="B153" s="4"/>
      <c r="C153" s="4"/>
      <c r="D153" s="123" t="s">
        <v>1088</v>
      </c>
      <c r="E153" s="124"/>
      <c r="F153" s="123"/>
      <c r="G153" s="49">
        <v>12.23</v>
      </c>
      <c r="H153" s="27"/>
    </row>
    <row r="154" spans="1:8" ht="12.75">
      <c r="A154" s="4" t="s">
        <v>78</v>
      </c>
      <c r="B154" s="4"/>
      <c r="C154" s="4" t="s">
        <v>349</v>
      </c>
      <c r="D154" s="107" t="s">
        <v>665</v>
      </c>
      <c r="E154" s="108"/>
      <c r="F154" s="4" t="s">
        <v>895</v>
      </c>
      <c r="G154" s="16">
        <v>112</v>
      </c>
      <c r="H154" s="16">
        <v>0</v>
      </c>
    </row>
    <row r="155" spans="1:8" ht="12" customHeight="1">
      <c r="A155" s="4"/>
      <c r="B155" s="4"/>
      <c r="C155" s="4"/>
      <c r="D155" s="123" t="s">
        <v>1089</v>
      </c>
      <c r="E155" s="124"/>
      <c r="F155" s="123"/>
      <c r="G155" s="49">
        <v>112</v>
      </c>
      <c r="H155" s="27"/>
    </row>
    <row r="156" spans="1:8" ht="12.75">
      <c r="A156" s="6" t="s">
        <v>79</v>
      </c>
      <c r="B156" s="6"/>
      <c r="C156" s="6" t="s">
        <v>350</v>
      </c>
      <c r="D156" s="111" t="s">
        <v>666</v>
      </c>
      <c r="E156" s="112"/>
      <c r="F156" s="6" t="s">
        <v>895</v>
      </c>
      <c r="G156" s="17">
        <v>120.21935</v>
      </c>
      <c r="H156" s="17">
        <v>0</v>
      </c>
    </row>
    <row r="157" spans="1:8" ht="12" customHeight="1">
      <c r="A157" s="6"/>
      <c r="B157" s="6"/>
      <c r="C157" s="6"/>
      <c r="D157" s="125" t="s">
        <v>1090</v>
      </c>
      <c r="E157" s="126"/>
      <c r="F157" s="125"/>
      <c r="G157" s="50">
        <v>109.29032</v>
      </c>
      <c r="H157" s="29"/>
    </row>
    <row r="158" spans="1:8" ht="12" customHeight="1">
      <c r="A158" s="6"/>
      <c r="B158" s="6"/>
      <c r="C158" s="6"/>
      <c r="D158" s="125" t="s">
        <v>1091</v>
      </c>
      <c r="E158" s="126"/>
      <c r="F158" s="125"/>
      <c r="G158" s="50">
        <v>10.92903</v>
      </c>
      <c r="H158" s="29"/>
    </row>
    <row r="159" spans="1:8" ht="12.75">
      <c r="A159" s="4" t="s">
        <v>80</v>
      </c>
      <c r="B159" s="4"/>
      <c r="C159" s="4" t="s">
        <v>352</v>
      </c>
      <c r="D159" s="107" t="s">
        <v>668</v>
      </c>
      <c r="E159" s="108"/>
      <c r="F159" s="4" t="s">
        <v>895</v>
      </c>
      <c r="G159" s="16">
        <v>112.77</v>
      </c>
      <c r="H159" s="16">
        <v>0</v>
      </c>
    </row>
    <row r="160" spans="1:8" ht="12" customHeight="1">
      <c r="A160" s="4"/>
      <c r="B160" s="4"/>
      <c r="C160" s="4"/>
      <c r="D160" s="123" t="s">
        <v>1092</v>
      </c>
      <c r="E160" s="124"/>
      <c r="F160" s="123"/>
      <c r="G160" s="49">
        <v>112.77</v>
      </c>
      <c r="H160" s="27"/>
    </row>
    <row r="161" spans="1:8" ht="12.75">
      <c r="A161" s="6" t="s">
        <v>81</v>
      </c>
      <c r="B161" s="6"/>
      <c r="C161" s="6" t="s">
        <v>353</v>
      </c>
      <c r="D161" s="111" t="s">
        <v>1279</v>
      </c>
      <c r="E161" s="112"/>
      <c r="F161" s="6" t="s">
        <v>897</v>
      </c>
      <c r="G161" s="17">
        <v>16.8</v>
      </c>
      <c r="H161" s="17">
        <v>0</v>
      </c>
    </row>
    <row r="162" spans="1:8" ht="12" customHeight="1">
      <c r="A162" s="6"/>
      <c r="B162" s="6"/>
      <c r="C162" s="6"/>
      <c r="D162" s="125" t="s">
        <v>1093</v>
      </c>
      <c r="E162" s="126"/>
      <c r="F162" s="125"/>
      <c r="G162" s="50">
        <v>16.8</v>
      </c>
      <c r="H162" s="29"/>
    </row>
    <row r="163" spans="1:8" ht="12.75">
      <c r="A163" s="6" t="s">
        <v>82</v>
      </c>
      <c r="B163" s="6"/>
      <c r="C163" s="6" t="s">
        <v>354</v>
      </c>
      <c r="D163" s="111" t="s">
        <v>1280</v>
      </c>
      <c r="E163" s="112"/>
      <c r="F163" s="6" t="s">
        <v>897</v>
      </c>
      <c r="G163" s="17">
        <v>16.8</v>
      </c>
      <c r="H163" s="17">
        <v>0</v>
      </c>
    </row>
    <row r="164" spans="1:8" ht="12" customHeight="1">
      <c r="A164" s="6"/>
      <c r="B164" s="6"/>
      <c r="C164" s="6"/>
      <c r="D164" s="125" t="s">
        <v>1093</v>
      </c>
      <c r="E164" s="126"/>
      <c r="F164" s="125"/>
      <c r="G164" s="50">
        <v>16.8</v>
      </c>
      <c r="H164" s="29"/>
    </row>
    <row r="165" spans="1:8" ht="12.75">
      <c r="A165" s="4" t="s">
        <v>83</v>
      </c>
      <c r="B165" s="4"/>
      <c r="C165" s="4" t="s">
        <v>355</v>
      </c>
      <c r="D165" s="107" t="s">
        <v>669</v>
      </c>
      <c r="E165" s="108"/>
      <c r="F165" s="4" t="s">
        <v>895</v>
      </c>
      <c r="G165" s="16">
        <v>49</v>
      </c>
      <c r="H165" s="16">
        <v>0</v>
      </c>
    </row>
    <row r="166" spans="1:8" ht="12" customHeight="1">
      <c r="A166" s="4"/>
      <c r="B166" s="4"/>
      <c r="C166" s="4"/>
      <c r="D166" s="123" t="s">
        <v>1094</v>
      </c>
      <c r="E166" s="124"/>
      <c r="F166" s="123"/>
      <c r="G166" s="49">
        <v>49</v>
      </c>
      <c r="H166" s="27"/>
    </row>
    <row r="167" spans="1:8" ht="12.75">
      <c r="A167" s="4" t="s">
        <v>84</v>
      </c>
      <c r="B167" s="4"/>
      <c r="C167" s="4" t="s">
        <v>356</v>
      </c>
      <c r="D167" s="107" t="s">
        <v>670</v>
      </c>
      <c r="E167" s="108"/>
      <c r="F167" s="4" t="s">
        <v>895</v>
      </c>
      <c r="G167" s="16">
        <v>81.3</v>
      </c>
      <c r="H167" s="16">
        <v>0</v>
      </c>
    </row>
    <row r="168" spans="1:8" ht="12" customHeight="1">
      <c r="A168" s="4"/>
      <c r="B168" s="4"/>
      <c r="C168" s="4"/>
      <c r="D168" s="123" t="s">
        <v>1095</v>
      </c>
      <c r="E168" s="124"/>
      <c r="F168" s="123"/>
      <c r="G168" s="49">
        <v>81.3</v>
      </c>
      <c r="H168" s="27"/>
    </row>
    <row r="169" spans="1:8" ht="12.75">
      <c r="A169" s="6" t="s">
        <v>85</v>
      </c>
      <c r="B169" s="6"/>
      <c r="C169" s="6" t="s">
        <v>357</v>
      </c>
      <c r="D169" s="111" t="s">
        <v>671</v>
      </c>
      <c r="E169" s="112"/>
      <c r="F169" s="6" t="s">
        <v>897</v>
      </c>
      <c r="G169" s="17">
        <v>11.9511</v>
      </c>
      <c r="H169" s="17">
        <v>0</v>
      </c>
    </row>
    <row r="170" spans="1:8" ht="12" customHeight="1">
      <c r="A170" s="6"/>
      <c r="B170" s="6"/>
      <c r="C170" s="6"/>
      <c r="D170" s="125" t="s">
        <v>1096</v>
      </c>
      <c r="E170" s="126"/>
      <c r="F170" s="125"/>
      <c r="G170" s="50">
        <v>11.382</v>
      </c>
      <c r="H170" s="29"/>
    </row>
    <row r="171" spans="1:8" ht="12" customHeight="1">
      <c r="A171" s="6"/>
      <c r="B171" s="6"/>
      <c r="C171" s="6"/>
      <c r="D171" s="125" t="s">
        <v>1097</v>
      </c>
      <c r="E171" s="126"/>
      <c r="F171" s="125"/>
      <c r="G171" s="50">
        <v>0.5691</v>
      </c>
      <c r="H171" s="29"/>
    </row>
    <row r="172" spans="1:8" ht="12.75">
      <c r="A172" s="4" t="s">
        <v>86</v>
      </c>
      <c r="B172" s="4"/>
      <c r="C172" s="4" t="s">
        <v>358</v>
      </c>
      <c r="D172" s="107" t="s">
        <v>672</v>
      </c>
      <c r="E172" s="108"/>
      <c r="F172" s="4" t="s">
        <v>895</v>
      </c>
      <c r="G172" s="16">
        <v>2.5902</v>
      </c>
      <c r="H172" s="16">
        <v>0</v>
      </c>
    </row>
    <row r="173" spans="1:8" ht="12" customHeight="1">
      <c r="A173" s="4"/>
      <c r="B173" s="4"/>
      <c r="C173" s="4"/>
      <c r="D173" s="123" t="s">
        <v>1098</v>
      </c>
      <c r="E173" s="124"/>
      <c r="F173" s="123"/>
      <c r="G173" s="49">
        <v>2.5902</v>
      </c>
      <c r="H173" s="27"/>
    </row>
    <row r="174" spans="1:8" ht="12.75">
      <c r="A174" s="6" t="s">
        <v>87</v>
      </c>
      <c r="B174" s="6"/>
      <c r="C174" s="6" t="s">
        <v>359</v>
      </c>
      <c r="D174" s="111" t="s">
        <v>673</v>
      </c>
      <c r="E174" s="112"/>
      <c r="F174" s="6" t="s">
        <v>897</v>
      </c>
      <c r="G174" s="17">
        <v>0.02816</v>
      </c>
      <c r="H174" s="17">
        <v>0</v>
      </c>
    </row>
    <row r="175" spans="1:8" ht="12" customHeight="1">
      <c r="A175" s="6"/>
      <c r="B175" s="6"/>
      <c r="C175" s="6"/>
      <c r="D175" s="125" t="s">
        <v>1099</v>
      </c>
      <c r="E175" s="126"/>
      <c r="F175" s="125"/>
      <c r="G175" s="50">
        <v>0.0256</v>
      </c>
      <c r="H175" s="29"/>
    </row>
    <row r="176" spans="1:8" ht="12" customHeight="1">
      <c r="A176" s="6"/>
      <c r="B176" s="6"/>
      <c r="C176" s="6"/>
      <c r="D176" s="125" t="s">
        <v>1100</v>
      </c>
      <c r="E176" s="126"/>
      <c r="F176" s="125"/>
      <c r="G176" s="50">
        <v>0.00256</v>
      </c>
      <c r="H176" s="29"/>
    </row>
    <row r="177" spans="1:8" ht="12.75">
      <c r="A177" s="4" t="s">
        <v>88</v>
      </c>
      <c r="B177" s="4"/>
      <c r="C177" s="4" t="s">
        <v>361</v>
      </c>
      <c r="D177" s="107" t="s">
        <v>675</v>
      </c>
      <c r="E177" s="108"/>
      <c r="F177" s="4" t="s">
        <v>896</v>
      </c>
      <c r="G177" s="16">
        <v>1</v>
      </c>
      <c r="H177" s="16">
        <v>0</v>
      </c>
    </row>
    <row r="178" spans="1:8" ht="12" customHeight="1">
      <c r="A178" s="4"/>
      <c r="B178" s="4"/>
      <c r="C178" s="4"/>
      <c r="D178" s="123" t="s">
        <v>1020</v>
      </c>
      <c r="E178" s="124"/>
      <c r="F178" s="123"/>
      <c r="G178" s="49">
        <v>1</v>
      </c>
      <c r="H178" s="27"/>
    </row>
    <row r="179" spans="1:8" ht="12.75">
      <c r="A179" s="4" t="s">
        <v>89</v>
      </c>
      <c r="B179" s="4"/>
      <c r="C179" s="4" t="s">
        <v>362</v>
      </c>
      <c r="D179" s="107" t="s">
        <v>676</v>
      </c>
      <c r="E179" s="108"/>
      <c r="F179" s="4" t="s">
        <v>899</v>
      </c>
      <c r="G179" s="16">
        <v>7</v>
      </c>
      <c r="H179" s="16">
        <v>0</v>
      </c>
    </row>
    <row r="180" spans="1:8" ht="12" customHeight="1">
      <c r="A180" s="4"/>
      <c r="B180" s="4"/>
      <c r="C180" s="4"/>
      <c r="D180" s="123" t="s">
        <v>1101</v>
      </c>
      <c r="E180" s="124"/>
      <c r="F180" s="123"/>
      <c r="G180" s="49">
        <v>7</v>
      </c>
      <c r="H180" s="27"/>
    </row>
    <row r="181" spans="1:8" ht="12.75">
      <c r="A181" s="4" t="s">
        <v>90</v>
      </c>
      <c r="B181" s="4"/>
      <c r="C181" s="4" t="s">
        <v>363</v>
      </c>
      <c r="D181" s="107" t="s">
        <v>677</v>
      </c>
      <c r="E181" s="108"/>
      <c r="F181" s="4" t="s">
        <v>899</v>
      </c>
      <c r="G181" s="16">
        <v>3</v>
      </c>
      <c r="H181" s="16">
        <v>0</v>
      </c>
    </row>
    <row r="182" spans="1:8" ht="12" customHeight="1">
      <c r="A182" s="4"/>
      <c r="B182" s="4"/>
      <c r="C182" s="4"/>
      <c r="D182" s="123" t="s">
        <v>1083</v>
      </c>
      <c r="E182" s="124"/>
      <c r="F182" s="123"/>
      <c r="G182" s="49">
        <v>3</v>
      </c>
      <c r="H182" s="27"/>
    </row>
    <row r="183" spans="1:8" ht="12.75">
      <c r="A183" s="4" t="s">
        <v>91</v>
      </c>
      <c r="B183" s="4"/>
      <c r="C183" s="4" t="s">
        <v>364</v>
      </c>
      <c r="D183" s="107" t="s">
        <v>678</v>
      </c>
      <c r="E183" s="108"/>
      <c r="F183" s="4" t="s">
        <v>899</v>
      </c>
      <c r="G183" s="16">
        <v>3</v>
      </c>
      <c r="H183" s="16">
        <v>0</v>
      </c>
    </row>
    <row r="184" spans="1:8" ht="12" customHeight="1">
      <c r="A184" s="4"/>
      <c r="B184" s="4"/>
      <c r="C184" s="4"/>
      <c r="D184" s="123" t="s">
        <v>1083</v>
      </c>
      <c r="E184" s="124"/>
      <c r="F184" s="123"/>
      <c r="G184" s="49">
        <v>3</v>
      </c>
      <c r="H184" s="27"/>
    </row>
    <row r="185" spans="1:8" ht="12.75">
      <c r="A185" s="4" t="s">
        <v>92</v>
      </c>
      <c r="B185" s="4"/>
      <c r="C185" s="4" t="s">
        <v>365</v>
      </c>
      <c r="D185" s="107" t="s">
        <v>679</v>
      </c>
      <c r="E185" s="108"/>
      <c r="F185" s="4" t="s">
        <v>899</v>
      </c>
      <c r="G185" s="16">
        <v>35</v>
      </c>
      <c r="H185" s="16">
        <v>0</v>
      </c>
    </row>
    <row r="186" spans="1:8" ht="12" customHeight="1">
      <c r="A186" s="4"/>
      <c r="B186" s="4"/>
      <c r="C186" s="4"/>
      <c r="D186" s="123" t="s">
        <v>1102</v>
      </c>
      <c r="E186" s="124"/>
      <c r="F186" s="123"/>
      <c r="G186" s="49">
        <v>11</v>
      </c>
      <c r="H186" s="27"/>
    </row>
    <row r="187" spans="1:8" ht="12" customHeight="1">
      <c r="A187" s="4"/>
      <c r="B187" s="4"/>
      <c r="C187" s="4"/>
      <c r="D187" s="123" t="s">
        <v>1103</v>
      </c>
      <c r="E187" s="124"/>
      <c r="F187" s="123"/>
      <c r="G187" s="49">
        <v>24</v>
      </c>
      <c r="H187" s="27"/>
    </row>
    <row r="188" spans="1:8" ht="12.75">
      <c r="A188" s="4" t="s">
        <v>93</v>
      </c>
      <c r="B188" s="4"/>
      <c r="C188" s="4" t="s">
        <v>366</v>
      </c>
      <c r="D188" s="107" t="s">
        <v>680</v>
      </c>
      <c r="E188" s="108"/>
      <c r="F188" s="4" t="s">
        <v>899</v>
      </c>
      <c r="G188" s="16">
        <v>48</v>
      </c>
      <c r="H188" s="16">
        <v>0</v>
      </c>
    </row>
    <row r="189" spans="1:8" ht="12" customHeight="1">
      <c r="A189" s="4"/>
      <c r="B189" s="4"/>
      <c r="C189" s="4"/>
      <c r="D189" s="123" t="s">
        <v>1104</v>
      </c>
      <c r="E189" s="124"/>
      <c r="F189" s="123"/>
      <c r="G189" s="49">
        <v>48</v>
      </c>
      <c r="H189" s="27"/>
    </row>
    <row r="190" spans="1:8" ht="12.75">
      <c r="A190" s="6" t="s">
        <v>94</v>
      </c>
      <c r="B190" s="6"/>
      <c r="C190" s="6" t="s">
        <v>367</v>
      </c>
      <c r="D190" s="111" t="s">
        <v>681</v>
      </c>
      <c r="E190" s="112"/>
      <c r="F190" s="6" t="s">
        <v>896</v>
      </c>
      <c r="G190" s="17">
        <v>1</v>
      </c>
      <c r="H190" s="17">
        <v>0</v>
      </c>
    </row>
    <row r="191" spans="1:8" ht="12" customHeight="1">
      <c r="A191" s="6"/>
      <c r="B191" s="6"/>
      <c r="C191" s="6"/>
      <c r="D191" s="125" t="s">
        <v>1020</v>
      </c>
      <c r="E191" s="126"/>
      <c r="F191" s="125"/>
      <c r="G191" s="50">
        <v>1</v>
      </c>
      <c r="H191" s="29"/>
    </row>
    <row r="192" spans="1:8" ht="12.75">
      <c r="A192" s="4" t="s">
        <v>95</v>
      </c>
      <c r="B192" s="4"/>
      <c r="C192" s="4" t="s">
        <v>361</v>
      </c>
      <c r="D192" s="107" t="s">
        <v>682</v>
      </c>
      <c r="E192" s="108"/>
      <c r="F192" s="4" t="s">
        <v>901</v>
      </c>
      <c r="G192" s="16">
        <v>1</v>
      </c>
      <c r="H192" s="16">
        <v>0</v>
      </c>
    </row>
    <row r="193" spans="1:8" ht="12.75">
      <c r="A193" s="4" t="s">
        <v>96</v>
      </c>
      <c r="B193" s="4"/>
      <c r="C193" s="4" t="s">
        <v>368</v>
      </c>
      <c r="D193" s="107" t="s">
        <v>683</v>
      </c>
      <c r="E193" s="108"/>
      <c r="F193" s="4" t="s">
        <v>899</v>
      </c>
      <c r="G193" s="16">
        <v>4</v>
      </c>
      <c r="H193" s="16">
        <v>0</v>
      </c>
    </row>
    <row r="194" spans="1:8" ht="12" customHeight="1">
      <c r="A194" s="4"/>
      <c r="B194" s="4"/>
      <c r="C194" s="4"/>
      <c r="D194" s="123" t="s">
        <v>1105</v>
      </c>
      <c r="E194" s="124"/>
      <c r="F194" s="123"/>
      <c r="G194" s="49">
        <v>4</v>
      </c>
      <c r="H194" s="27"/>
    </row>
    <row r="195" spans="1:8" ht="12.75">
      <c r="A195" s="4" t="s">
        <v>97</v>
      </c>
      <c r="B195" s="4"/>
      <c r="C195" s="4" t="s">
        <v>369</v>
      </c>
      <c r="D195" s="107" t="s">
        <v>684</v>
      </c>
      <c r="E195" s="108"/>
      <c r="F195" s="4" t="s">
        <v>899</v>
      </c>
      <c r="G195" s="16">
        <v>2</v>
      </c>
      <c r="H195" s="16">
        <v>0</v>
      </c>
    </row>
    <row r="196" spans="1:8" ht="12" customHeight="1">
      <c r="A196" s="4"/>
      <c r="B196" s="4"/>
      <c r="C196" s="4"/>
      <c r="D196" s="123" t="s">
        <v>1019</v>
      </c>
      <c r="E196" s="124"/>
      <c r="F196" s="123"/>
      <c r="G196" s="49">
        <v>2</v>
      </c>
      <c r="H196" s="27"/>
    </row>
    <row r="197" spans="1:8" ht="12.75">
      <c r="A197" s="4" t="s">
        <v>98</v>
      </c>
      <c r="B197" s="4"/>
      <c r="C197" s="4" t="s">
        <v>370</v>
      </c>
      <c r="D197" s="107" t="s">
        <v>685</v>
      </c>
      <c r="E197" s="108"/>
      <c r="F197" s="4" t="s">
        <v>896</v>
      </c>
      <c r="G197" s="16">
        <v>1</v>
      </c>
      <c r="H197" s="16">
        <v>0</v>
      </c>
    </row>
    <row r="198" spans="1:8" ht="12" customHeight="1">
      <c r="A198" s="4"/>
      <c r="B198" s="4"/>
      <c r="C198" s="4"/>
      <c r="D198" s="123" t="s">
        <v>1020</v>
      </c>
      <c r="E198" s="124"/>
      <c r="F198" s="123"/>
      <c r="G198" s="49">
        <v>1</v>
      </c>
      <c r="H198" s="27"/>
    </row>
    <row r="199" spans="1:8" ht="12.75">
      <c r="A199" s="4" t="s">
        <v>99</v>
      </c>
      <c r="B199" s="4"/>
      <c r="C199" s="4" t="s">
        <v>371</v>
      </c>
      <c r="D199" s="107" t="s">
        <v>686</v>
      </c>
      <c r="E199" s="108"/>
      <c r="F199" s="4" t="s">
        <v>896</v>
      </c>
      <c r="G199" s="16">
        <v>2</v>
      </c>
      <c r="H199" s="16">
        <v>0</v>
      </c>
    </row>
    <row r="200" spans="1:8" ht="12" customHeight="1">
      <c r="A200" s="4"/>
      <c r="B200" s="4"/>
      <c r="C200" s="4"/>
      <c r="D200" s="123" t="s">
        <v>1019</v>
      </c>
      <c r="E200" s="124"/>
      <c r="F200" s="123"/>
      <c r="G200" s="49">
        <v>2</v>
      </c>
      <c r="H200" s="27"/>
    </row>
    <row r="201" spans="1:8" ht="12.75">
      <c r="A201" s="4" t="s">
        <v>100</v>
      </c>
      <c r="B201" s="4"/>
      <c r="C201" s="4" t="s">
        <v>372</v>
      </c>
      <c r="D201" s="107" t="s">
        <v>687</v>
      </c>
      <c r="E201" s="108"/>
      <c r="F201" s="4" t="s">
        <v>896</v>
      </c>
      <c r="G201" s="16">
        <v>2</v>
      </c>
      <c r="H201" s="16">
        <v>0</v>
      </c>
    </row>
    <row r="202" spans="1:8" ht="12" customHeight="1">
      <c r="A202" s="4"/>
      <c r="B202" s="4"/>
      <c r="C202" s="4"/>
      <c r="D202" s="123" t="s">
        <v>1019</v>
      </c>
      <c r="E202" s="124"/>
      <c r="F202" s="123"/>
      <c r="G202" s="49">
        <v>2</v>
      </c>
      <c r="H202" s="27"/>
    </row>
    <row r="203" spans="1:8" ht="12.75">
      <c r="A203" s="4" t="s">
        <v>101</v>
      </c>
      <c r="B203" s="4"/>
      <c r="C203" s="4" t="s">
        <v>374</v>
      </c>
      <c r="D203" s="107" t="s">
        <v>689</v>
      </c>
      <c r="E203" s="108"/>
      <c r="F203" s="4" t="s">
        <v>899</v>
      </c>
      <c r="G203" s="16">
        <v>36</v>
      </c>
      <c r="H203" s="16">
        <v>0</v>
      </c>
    </row>
    <row r="204" spans="1:8" ht="12" customHeight="1">
      <c r="A204" s="4"/>
      <c r="B204" s="4"/>
      <c r="C204" s="4"/>
      <c r="D204" s="123" t="s">
        <v>1106</v>
      </c>
      <c r="E204" s="124"/>
      <c r="F204" s="123"/>
      <c r="G204" s="49">
        <v>36</v>
      </c>
      <c r="H204" s="27"/>
    </row>
    <row r="205" spans="1:8" ht="12.75">
      <c r="A205" s="4" t="s">
        <v>102</v>
      </c>
      <c r="B205" s="4"/>
      <c r="C205" s="4" t="s">
        <v>375</v>
      </c>
      <c r="D205" s="107" t="s">
        <v>690</v>
      </c>
      <c r="E205" s="108"/>
      <c r="F205" s="4" t="s">
        <v>899</v>
      </c>
      <c r="G205" s="16">
        <v>36</v>
      </c>
      <c r="H205" s="16">
        <v>0</v>
      </c>
    </row>
    <row r="206" spans="1:8" ht="12" customHeight="1">
      <c r="A206" s="4"/>
      <c r="B206" s="4"/>
      <c r="C206" s="4"/>
      <c r="D206" s="123" t="s">
        <v>1106</v>
      </c>
      <c r="E206" s="124"/>
      <c r="F206" s="123"/>
      <c r="G206" s="49">
        <v>36</v>
      </c>
      <c r="H206" s="27"/>
    </row>
    <row r="207" spans="1:8" ht="12.75">
      <c r="A207" s="4" t="s">
        <v>103</v>
      </c>
      <c r="B207" s="4"/>
      <c r="C207" s="4" t="s">
        <v>376</v>
      </c>
      <c r="D207" s="107" t="s">
        <v>691</v>
      </c>
      <c r="E207" s="108"/>
      <c r="F207" s="4" t="s">
        <v>896</v>
      </c>
      <c r="G207" s="16">
        <v>8</v>
      </c>
      <c r="H207" s="16">
        <v>0</v>
      </c>
    </row>
    <row r="208" spans="1:8" ht="12" customHeight="1">
      <c r="A208" s="4"/>
      <c r="B208" s="4"/>
      <c r="C208" s="4"/>
      <c r="D208" s="123" t="s">
        <v>1107</v>
      </c>
      <c r="E208" s="124"/>
      <c r="F208" s="123"/>
      <c r="G208" s="49">
        <v>8</v>
      </c>
      <c r="H208" s="27"/>
    </row>
    <row r="209" spans="1:8" ht="12.75">
      <c r="A209" s="4" t="s">
        <v>104</v>
      </c>
      <c r="B209" s="4"/>
      <c r="C209" s="4" t="s">
        <v>377</v>
      </c>
      <c r="D209" s="107" t="s">
        <v>692</v>
      </c>
      <c r="E209" s="108"/>
      <c r="F209" s="4" t="s">
        <v>898</v>
      </c>
      <c r="G209" s="16">
        <v>0</v>
      </c>
      <c r="H209" s="16">
        <v>0</v>
      </c>
    </row>
    <row r="210" spans="1:8" ht="12.75">
      <c r="A210" s="4" t="s">
        <v>105</v>
      </c>
      <c r="B210" s="4"/>
      <c r="C210" s="4" t="s">
        <v>378</v>
      </c>
      <c r="D210" s="107" t="s">
        <v>693</v>
      </c>
      <c r="E210" s="108"/>
      <c r="F210" s="4" t="s">
        <v>901</v>
      </c>
      <c r="G210" s="16">
        <v>1</v>
      </c>
      <c r="H210" s="16">
        <v>0</v>
      </c>
    </row>
    <row r="211" spans="1:8" ht="12.75">
      <c r="A211" s="4" t="s">
        <v>106</v>
      </c>
      <c r="B211" s="4"/>
      <c r="C211" s="4" t="s">
        <v>379</v>
      </c>
      <c r="D211" s="107" t="s">
        <v>694</v>
      </c>
      <c r="E211" s="108"/>
      <c r="F211" s="4" t="s">
        <v>899</v>
      </c>
      <c r="G211" s="16">
        <v>12</v>
      </c>
      <c r="H211" s="16">
        <v>0</v>
      </c>
    </row>
    <row r="212" spans="1:8" ht="12" customHeight="1">
      <c r="A212" s="4"/>
      <c r="B212" s="4"/>
      <c r="C212" s="4"/>
      <c r="D212" s="123" t="s">
        <v>1108</v>
      </c>
      <c r="E212" s="124"/>
      <c r="F212" s="123"/>
      <c r="G212" s="49">
        <v>12</v>
      </c>
      <c r="H212" s="27"/>
    </row>
    <row r="213" spans="1:8" ht="12.75">
      <c r="A213" s="4" t="s">
        <v>107</v>
      </c>
      <c r="B213" s="4"/>
      <c r="C213" s="4" t="s">
        <v>380</v>
      </c>
      <c r="D213" s="107" t="s">
        <v>695</v>
      </c>
      <c r="E213" s="108"/>
      <c r="F213" s="4" t="s">
        <v>899</v>
      </c>
      <c r="G213" s="16">
        <v>12</v>
      </c>
      <c r="H213" s="16">
        <v>0</v>
      </c>
    </row>
    <row r="214" spans="1:8" ht="12" customHeight="1">
      <c r="A214" s="4"/>
      <c r="B214" s="4"/>
      <c r="C214" s="4"/>
      <c r="D214" s="123" t="s">
        <v>1108</v>
      </c>
      <c r="E214" s="124"/>
      <c r="F214" s="123"/>
      <c r="G214" s="49">
        <v>12</v>
      </c>
      <c r="H214" s="27"/>
    </row>
    <row r="215" spans="1:8" ht="12.75">
      <c r="A215" s="4" t="s">
        <v>108</v>
      </c>
      <c r="B215" s="4"/>
      <c r="C215" s="4" t="s">
        <v>381</v>
      </c>
      <c r="D215" s="107" t="s">
        <v>696</v>
      </c>
      <c r="E215" s="108"/>
      <c r="F215" s="4" t="s">
        <v>896</v>
      </c>
      <c r="G215" s="16">
        <v>4</v>
      </c>
      <c r="H215" s="16">
        <v>0</v>
      </c>
    </row>
    <row r="216" spans="1:8" ht="12" customHeight="1">
      <c r="A216" s="4"/>
      <c r="B216" s="4"/>
      <c r="C216" s="4"/>
      <c r="D216" s="123" t="s">
        <v>1105</v>
      </c>
      <c r="E216" s="124"/>
      <c r="F216" s="123"/>
      <c r="G216" s="49">
        <v>4</v>
      </c>
      <c r="H216" s="27"/>
    </row>
    <row r="217" spans="1:8" ht="12.75">
      <c r="A217" s="4" t="s">
        <v>109</v>
      </c>
      <c r="B217" s="4"/>
      <c r="C217" s="4" t="s">
        <v>382</v>
      </c>
      <c r="D217" s="107" t="s">
        <v>697</v>
      </c>
      <c r="E217" s="108"/>
      <c r="F217" s="4" t="s">
        <v>896</v>
      </c>
      <c r="G217" s="16">
        <v>4</v>
      </c>
      <c r="H217" s="16">
        <v>0</v>
      </c>
    </row>
    <row r="218" spans="1:8" ht="12" customHeight="1">
      <c r="A218" s="4"/>
      <c r="B218" s="4"/>
      <c r="C218" s="4"/>
      <c r="D218" s="123" t="s">
        <v>1105</v>
      </c>
      <c r="E218" s="124"/>
      <c r="F218" s="123"/>
      <c r="G218" s="49">
        <v>4</v>
      </c>
      <c r="H218" s="27"/>
    </row>
    <row r="219" spans="1:8" ht="12.75">
      <c r="A219" s="4" t="s">
        <v>110</v>
      </c>
      <c r="B219" s="4"/>
      <c r="C219" s="4" t="s">
        <v>383</v>
      </c>
      <c r="D219" s="107" t="s">
        <v>698</v>
      </c>
      <c r="E219" s="108"/>
      <c r="F219" s="4" t="s">
        <v>896</v>
      </c>
      <c r="G219" s="16">
        <v>2</v>
      </c>
      <c r="H219" s="16">
        <v>0</v>
      </c>
    </row>
    <row r="220" spans="1:8" ht="12" customHeight="1">
      <c r="A220" s="4"/>
      <c r="B220" s="4"/>
      <c r="C220" s="4"/>
      <c r="D220" s="123" t="s">
        <v>1019</v>
      </c>
      <c r="E220" s="124"/>
      <c r="F220" s="123"/>
      <c r="G220" s="49">
        <v>2</v>
      </c>
      <c r="H220" s="27"/>
    </row>
    <row r="221" spans="1:8" ht="12.75">
      <c r="A221" s="4" t="s">
        <v>111</v>
      </c>
      <c r="B221" s="4"/>
      <c r="C221" s="4" t="s">
        <v>384</v>
      </c>
      <c r="D221" s="107" t="s">
        <v>699</v>
      </c>
      <c r="E221" s="108"/>
      <c r="F221" s="4" t="s">
        <v>896</v>
      </c>
      <c r="G221" s="16">
        <v>3</v>
      </c>
      <c r="H221" s="16">
        <v>0</v>
      </c>
    </row>
    <row r="222" spans="1:8" ht="12" customHeight="1">
      <c r="A222" s="4"/>
      <c r="B222" s="4"/>
      <c r="C222" s="4"/>
      <c r="D222" s="123" t="s">
        <v>1083</v>
      </c>
      <c r="E222" s="124"/>
      <c r="F222" s="123"/>
      <c r="G222" s="49">
        <v>3</v>
      </c>
      <c r="H222" s="27"/>
    </row>
    <row r="223" spans="1:8" ht="12.75">
      <c r="A223" s="4" t="s">
        <v>112</v>
      </c>
      <c r="B223" s="4"/>
      <c r="C223" s="4" t="s">
        <v>385</v>
      </c>
      <c r="D223" s="107" t="s">
        <v>700</v>
      </c>
      <c r="E223" s="108"/>
      <c r="F223" s="4" t="s">
        <v>899</v>
      </c>
      <c r="G223" s="16">
        <v>54</v>
      </c>
      <c r="H223" s="16">
        <v>0</v>
      </c>
    </row>
    <row r="224" spans="1:8" ht="12" customHeight="1">
      <c r="A224" s="4"/>
      <c r="B224" s="4"/>
      <c r="C224" s="4"/>
      <c r="D224" s="123" t="s">
        <v>1109</v>
      </c>
      <c r="E224" s="124"/>
      <c r="F224" s="123"/>
      <c r="G224" s="49">
        <v>54</v>
      </c>
      <c r="H224" s="27"/>
    </row>
    <row r="225" spans="1:8" ht="12.75">
      <c r="A225" s="4" t="s">
        <v>113</v>
      </c>
      <c r="B225" s="4"/>
      <c r="C225" s="4" t="s">
        <v>386</v>
      </c>
      <c r="D225" s="107" t="s">
        <v>701</v>
      </c>
      <c r="E225" s="108"/>
      <c r="F225" s="4" t="s">
        <v>899</v>
      </c>
      <c r="G225" s="16">
        <v>24</v>
      </c>
      <c r="H225" s="16">
        <v>0</v>
      </c>
    </row>
    <row r="226" spans="1:8" ht="12" customHeight="1">
      <c r="A226" s="4"/>
      <c r="B226" s="4"/>
      <c r="C226" s="4"/>
      <c r="D226" s="123" t="s">
        <v>1110</v>
      </c>
      <c r="E226" s="124"/>
      <c r="F226" s="123"/>
      <c r="G226" s="49">
        <v>24</v>
      </c>
      <c r="H226" s="27"/>
    </row>
    <row r="227" spans="1:8" ht="12.75">
      <c r="A227" s="4" t="s">
        <v>114</v>
      </c>
      <c r="B227" s="4"/>
      <c r="C227" s="4" t="s">
        <v>388</v>
      </c>
      <c r="D227" s="107" t="s">
        <v>703</v>
      </c>
      <c r="E227" s="108"/>
      <c r="F227" s="4" t="s">
        <v>894</v>
      </c>
      <c r="G227" s="16">
        <v>1</v>
      </c>
      <c r="H227" s="16">
        <v>0</v>
      </c>
    </row>
    <row r="228" spans="1:8" ht="12.75">
      <c r="A228" s="4" t="s">
        <v>115</v>
      </c>
      <c r="B228" s="4"/>
      <c r="C228" s="4" t="s">
        <v>389</v>
      </c>
      <c r="D228" s="107" t="s">
        <v>704</v>
      </c>
      <c r="E228" s="108"/>
      <c r="F228" s="4" t="s">
        <v>894</v>
      </c>
      <c r="G228" s="16">
        <v>1</v>
      </c>
      <c r="H228" s="16">
        <v>0</v>
      </c>
    </row>
    <row r="229" spans="1:8" ht="12" customHeight="1">
      <c r="A229" s="4"/>
      <c r="B229" s="4"/>
      <c r="C229" s="4"/>
      <c r="D229" s="123" t="s">
        <v>1020</v>
      </c>
      <c r="E229" s="124"/>
      <c r="F229" s="123"/>
      <c r="G229" s="49">
        <v>1</v>
      </c>
      <c r="H229" s="27"/>
    </row>
    <row r="230" spans="1:8" ht="12.75">
      <c r="A230" s="4" t="s">
        <v>116</v>
      </c>
      <c r="B230" s="4"/>
      <c r="C230" s="4" t="s">
        <v>390</v>
      </c>
      <c r="D230" s="107" t="s">
        <v>705</v>
      </c>
      <c r="E230" s="108"/>
      <c r="F230" s="4" t="s">
        <v>894</v>
      </c>
      <c r="G230" s="16">
        <v>5</v>
      </c>
      <c r="H230" s="16">
        <v>0</v>
      </c>
    </row>
    <row r="231" spans="1:8" ht="12" customHeight="1">
      <c r="A231" s="4"/>
      <c r="B231" s="4"/>
      <c r="C231" s="4"/>
      <c r="D231" s="123" t="s">
        <v>1022</v>
      </c>
      <c r="E231" s="124"/>
      <c r="F231" s="123"/>
      <c r="G231" s="49">
        <v>5</v>
      </c>
      <c r="H231" s="27"/>
    </row>
    <row r="232" spans="1:8" ht="12.75">
      <c r="A232" s="4" t="s">
        <v>117</v>
      </c>
      <c r="B232" s="4"/>
      <c r="C232" s="4" t="s">
        <v>391</v>
      </c>
      <c r="D232" s="107" t="s">
        <v>706</v>
      </c>
      <c r="E232" s="108"/>
      <c r="F232" s="4" t="s">
        <v>896</v>
      </c>
      <c r="G232" s="16">
        <v>1</v>
      </c>
      <c r="H232" s="16">
        <v>0</v>
      </c>
    </row>
    <row r="233" spans="1:8" ht="12" customHeight="1">
      <c r="A233" s="4"/>
      <c r="B233" s="4"/>
      <c r="C233" s="4"/>
      <c r="D233" s="123" t="s">
        <v>1020</v>
      </c>
      <c r="E233" s="124"/>
      <c r="F233" s="123"/>
      <c r="G233" s="49">
        <v>1</v>
      </c>
      <c r="H233" s="27"/>
    </row>
    <row r="234" spans="1:8" ht="12.75">
      <c r="A234" s="4" t="s">
        <v>118</v>
      </c>
      <c r="B234" s="4"/>
      <c r="C234" s="4" t="s">
        <v>392</v>
      </c>
      <c r="D234" s="107" t="s">
        <v>707</v>
      </c>
      <c r="E234" s="108"/>
      <c r="F234" s="4" t="s">
        <v>896</v>
      </c>
      <c r="G234" s="16">
        <v>1</v>
      </c>
      <c r="H234" s="16">
        <v>0</v>
      </c>
    </row>
    <row r="235" spans="1:8" ht="12" customHeight="1">
      <c r="A235" s="4"/>
      <c r="B235" s="4"/>
      <c r="C235" s="4"/>
      <c r="D235" s="123" t="s">
        <v>1020</v>
      </c>
      <c r="E235" s="124"/>
      <c r="F235" s="123"/>
      <c r="G235" s="49">
        <v>1</v>
      </c>
      <c r="H235" s="27"/>
    </row>
    <row r="236" spans="1:8" ht="12.75">
      <c r="A236" s="6" t="s">
        <v>119</v>
      </c>
      <c r="B236" s="6"/>
      <c r="C236" s="6" t="s">
        <v>393</v>
      </c>
      <c r="D236" s="111" t="s">
        <v>708</v>
      </c>
      <c r="E236" s="112"/>
      <c r="F236" s="6" t="s">
        <v>896</v>
      </c>
      <c r="G236" s="17">
        <v>1</v>
      </c>
      <c r="H236" s="17">
        <v>0</v>
      </c>
    </row>
    <row r="237" spans="1:8" ht="12" customHeight="1">
      <c r="A237" s="6"/>
      <c r="B237" s="6"/>
      <c r="C237" s="6"/>
      <c r="D237" s="125" t="s">
        <v>1020</v>
      </c>
      <c r="E237" s="126"/>
      <c r="F237" s="125"/>
      <c r="G237" s="50">
        <v>1</v>
      </c>
      <c r="H237" s="29"/>
    </row>
    <row r="238" spans="1:8" ht="12.75">
      <c r="A238" s="4" t="s">
        <v>120</v>
      </c>
      <c r="B238" s="4"/>
      <c r="C238" s="4" t="s">
        <v>394</v>
      </c>
      <c r="D238" s="107" t="s">
        <v>709</v>
      </c>
      <c r="E238" s="108"/>
      <c r="F238" s="4" t="s">
        <v>896</v>
      </c>
      <c r="G238" s="16">
        <v>1</v>
      </c>
      <c r="H238" s="16">
        <v>0</v>
      </c>
    </row>
    <row r="239" spans="1:8" ht="12" customHeight="1">
      <c r="A239" s="4"/>
      <c r="B239" s="4"/>
      <c r="C239" s="4"/>
      <c r="D239" s="123" t="s">
        <v>1020</v>
      </c>
      <c r="E239" s="124"/>
      <c r="F239" s="123"/>
      <c r="G239" s="49">
        <v>1</v>
      </c>
      <c r="H239" s="27"/>
    </row>
    <row r="240" spans="1:8" ht="12.75">
      <c r="A240" s="4" t="s">
        <v>121</v>
      </c>
      <c r="B240" s="4"/>
      <c r="C240" s="4" t="s">
        <v>395</v>
      </c>
      <c r="D240" s="107" t="s">
        <v>710</v>
      </c>
      <c r="E240" s="108"/>
      <c r="F240" s="4" t="s">
        <v>894</v>
      </c>
      <c r="G240" s="16">
        <v>1</v>
      </c>
      <c r="H240" s="16">
        <v>0</v>
      </c>
    </row>
    <row r="241" spans="1:8" ht="12" customHeight="1">
      <c r="A241" s="4"/>
      <c r="B241" s="4"/>
      <c r="C241" s="4"/>
      <c r="D241" s="123" t="s">
        <v>1020</v>
      </c>
      <c r="E241" s="124"/>
      <c r="F241" s="123"/>
      <c r="G241" s="49">
        <v>1</v>
      </c>
      <c r="H241" s="27"/>
    </row>
    <row r="242" spans="1:8" ht="12.75">
      <c r="A242" s="4" t="s">
        <v>122</v>
      </c>
      <c r="B242" s="4"/>
      <c r="C242" s="4" t="s">
        <v>396</v>
      </c>
      <c r="D242" s="107" t="s">
        <v>711</v>
      </c>
      <c r="E242" s="108"/>
      <c r="F242" s="4" t="s">
        <v>894</v>
      </c>
      <c r="G242" s="16">
        <v>1</v>
      </c>
      <c r="H242" s="16">
        <v>0</v>
      </c>
    </row>
    <row r="243" spans="1:8" ht="12" customHeight="1">
      <c r="A243" s="4"/>
      <c r="B243" s="4"/>
      <c r="C243" s="4"/>
      <c r="D243" s="123" t="s">
        <v>1020</v>
      </c>
      <c r="E243" s="124"/>
      <c r="F243" s="123"/>
      <c r="G243" s="49">
        <v>1</v>
      </c>
      <c r="H243" s="27"/>
    </row>
    <row r="244" spans="1:8" ht="12.75">
      <c r="A244" s="4" t="s">
        <v>123</v>
      </c>
      <c r="B244" s="4"/>
      <c r="C244" s="4" t="s">
        <v>397</v>
      </c>
      <c r="D244" s="107" t="s">
        <v>712</v>
      </c>
      <c r="E244" s="108"/>
      <c r="F244" s="4" t="s">
        <v>896</v>
      </c>
      <c r="G244" s="16">
        <v>1</v>
      </c>
      <c r="H244" s="16">
        <v>0</v>
      </c>
    </row>
    <row r="245" spans="1:8" ht="12" customHeight="1">
      <c r="A245" s="4"/>
      <c r="B245" s="4"/>
      <c r="C245" s="4"/>
      <c r="D245" s="123" t="s">
        <v>1020</v>
      </c>
      <c r="E245" s="124"/>
      <c r="F245" s="123"/>
      <c r="G245" s="49">
        <v>1</v>
      </c>
      <c r="H245" s="27"/>
    </row>
    <row r="246" spans="1:8" ht="12.75">
      <c r="A246" s="4" t="s">
        <v>124</v>
      </c>
      <c r="B246" s="4"/>
      <c r="C246" s="4" t="s">
        <v>398</v>
      </c>
      <c r="D246" s="107" t="s">
        <v>713</v>
      </c>
      <c r="E246" s="108"/>
      <c r="F246" s="4" t="s">
        <v>896</v>
      </c>
      <c r="G246" s="16">
        <v>1</v>
      </c>
      <c r="H246" s="16">
        <v>0</v>
      </c>
    </row>
    <row r="247" spans="1:8" ht="12" customHeight="1">
      <c r="A247" s="4"/>
      <c r="B247" s="4"/>
      <c r="C247" s="4"/>
      <c r="D247" s="123" t="s">
        <v>1020</v>
      </c>
      <c r="E247" s="124"/>
      <c r="F247" s="123"/>
      <c r="G247" s="49">
        <v>1</v>
      </c>
      <c r="H247" s="27"/>
    </row>
    <row r="248" spans="1:8" ht="12.75">
      <c r="A248" s="6" t="s">
        <v>125</v>
      </c>
      <c r="B248" s="6"/>
      <c r="C248" s="6" t="s">
        <v>399</v>
      </c>
      <c r="D248" s="111" t="s">
        <v>1281</v>
      </c>
      <c r="E248" s="112"/>
      <c r="F248" s="6" t="s">
        <v>896</v>
      </c>
      <c r="G248" s="17">
        <v>1</v>
      </c>
      <c r="H248" s="17">
        <v>0</v>
      </c>
    </row>
    <row r="249" spans="1:8" ht="12" customHeight="1">
      <c r="A249" s="6"/>
      <c r="B249" s="6"/>
      <c r="C249" s="6"/>
      <c r="D249" s="125" t="s">
        <v>1020</v>
      </c>
      <c r="E249" s="126"/>
      <c r="F249" s="125"/>
      <c r="G249" s="50">
        <v>1</v>
      </c>
      <c r="H249" s="29"/>
    </row>
    <row r="250" spans="1:8" ht="12.75">
      <c r="A250" s="4" t="s">
        <v>126</v>
      </c>
      <c r="B250" s="4"/>
      <c r="C250" s="4" t="s">
        <v>401</v>
      </c>
      <c r="D250" s="107" t="s">
        <v>715</v>
      </c>
      <c r="E250" s="108"/>
      <c r="F250" s="4" t="s">
        <v>896</v>
      </c>
      <c r="G250" s="16">
        <v>2</v>
      </c>
      <c r="H250" s="16">
        <v>0</v>
      </c>
    </row>
    <row r="251" spans="1:8" ht="12.75">
      <c r="A251" s="4" t="s">
        <v>127</v>
      </c>
      <c r="B251" s="4"/>
      <c r="C251" s="4" t="s">
        <v>402</v>
      </c>
      <c r="D251" s="107" t="s">
        <v>716</v>
      </c>
      <c r="E251" s="108"/>
      <c r="F251" s="4" t="s">
        <v>896</v>
      </c>
      <c r="G251" s="16">
        <v>6</v>
      </c>
      <c r="H251" s="16">
        <v>0</v>
      </c>
    </row>
    <row r="252" spans="1:8" ht="12.75">
      <c r="A252" s="4" t="s">
        <v>128</v>
      </c>
      <c r="B252" s="4"/>
      <c r="C252" s="4" t="s">
        <v>403</v>
      </c>
      <c r="D252" s="107" t="s">
        <v>717</v>
      </c>
      <c r="E252" s="108"/>
      <c r="F252" s="4" t="s">
        <v>901</v>
      </c>
      <c r="G252" s="16">
        <v>1</v>
      </c>
      <c r="H252" s="16">
        <v>0</v>
      </c>
    </row>
    <row r="253" spans="1:8" ht="12.75">
      <c r="A253" s="6" t="s">
        <v>129</v>
      </c>
      <c r="B253" s="6"/>
      <c r="C253" s="6" t="s">
        <v>404</v>
      </c>
      <c r="D253" s="111" t="s">
        <v>1290</v>
      </c>
      <c r="E253" s="112"/>
      <c r="F253" s="6" t="s">
        <v>896</v>
      </c>
      <c r="G253" s="17">
        <v>1</v>
      </c>
      <c r="H253" s="17">
        <v>0</v>
      </c>
    </row>
    <row r="254" spans="1:8" ht="12.75">
      <c r="A254" s="4" t="s">
        <v>130</v>
      </c>
      <c r="B254" s="4"/>
      <c r="C254" s="4" t="s">
        <v>406</v>
      </c>
      <c r="D254" s="107" t="s">
        <v>719</v>
      </c>
      <c r="E254" s="108"/>
      <c r="F254" s="4" t="s">
        <v>899</v>
      </c>
      <c r="G254" s="16">
        <v>12</v>
      </c>
      <c r="H254" s="16">
        <v>0</v>
      </c>
    </row>
    <row r="255" spans="1:8" ht="12.75">
      <c r="A255" s="4" t="s">
        <v>131</v>
      </c>
      <c r="B255" s="4"/>
      <c r="C255" s="4" t="s">
        <v>407</v>
      </c>
      <c r="D255" s="107" t="s">
        <v>720</v>
      </c>
      <c r="E255" s="108"/>
      <c r="F255" s="4" t="s">
        <v>899</v>
      </c>
      <c r="G255" s="16">
        <v>34</v>
      </c>
      <c r="H255" s="16">
        <v>0</v>
      </c>
    </row>
    <row r="256" spans="1:8" ht="12.75">
      <c r="A256" s="4" t="s">
        <v>132</v>
      </c>
      <c r="B256" s="4"/>
      <c r="C256" s="4" t="s">
        <v>408</v>
      </c>
      <c r="D256" s="107" t="s">
        <v>721</v>
      </c>
      <c r="E256" s="108"/>
      <c r="F256" s="4" t="s">
        <v>901</v>
      </c>
      <c r="G256" s="16">
        <v>1</v>
      </c>
      <c r="H256" s="16">
        <v>0</v>
      </c>
    </row>
    <row r="257" spans="1:8" ht="12.75">
      <c r="A257" s="4" t="s">
        <v>133</v>
      </c>
      <c r="B257" s="4"/>
      <c r="C257" s="4" t="s">
        <v>410</v>
      </c>
      <c r="D257" s="107" t="s">
        <v>723</v>
      </c>
      <c r="E257" s="108"/>
      <c r="F257" s="4" t="s">
        <v>896</v>
      </c>
      <c r="G257" s="16">
        <v>4</v>
      </c>
      <c r="H257" s="16">
        <v>0</v>
      </c>
    </row>
    <row r="258" spans="1:8" ht="12.75">
      <c r="A258" s="4" t="s">
        <v>134</v>
      </c>
      <c r="B258" s="4"/>
      <c r="C258" s="4" t="s">
        <v>411</v>
      </c>
      <c r="D258" s="107" t="s">
        <v>724</v>
      </c>
      <c r="E258" s="108"/>
      <c r="F258" s="4" t="s">
        <v>896</v>
      </c>
      <c r="G258" s="16">
        <v>4</v>
      </c>
      <c r="H258" s="16">
        <v>0</v>
      </c>
    </row>
    <row r="259" spans="1:8" ht="12.75">
      <c r="A259" s="4" t="s">
        <v>135</v>
      </c>
      <c r="B259" s="4"/>
      <c r="C259" s="4" t="s">
        <v>412</v>
      </c>
      <c r="D259" s="107" t="s">
        <v>1283</v>
      </c>
      <c r="E259" s="108"/>
      <c r="F259" s="4" t="s">
        <v>896</v>
      </c>
      <c r="G259" s="16">
        <v>4</v>
      </c>
      <c r="H259" s="16">
        <v>0</v>
      </c>
    </row>
    <row r="260" spans="1:8" ht="12.75">
      <c r="A260" s="4" t="s">
        <v>136</v>
      </c>
      <c r="B260" s="4"/>
      <c r="C260" s="4" t="s">
        <v>413</v>
      </c>
      <c r="D260" s="107" t="s">
        <v>1291</v>
      </c>
      <c r="E260" s="108"/>
      <c r="F260" s="4" t="s">
        <v>896</v>
      </c>
      <c r="G260" s="16">
        <v>8</v>
      </c>
      <c r="H260" s="16">
        <v>0</v>
      </c>
    </row>
    <row r="261" spans="1:8" ht="12.75">
      <c r="A261" s="4" t="s">
        <v>137</v>
      </c>
      <c r="B261" s="4"/>
      <c r="C261" s="4" t="s">
        <v>414</v>
      </c>
      <c r="D261" s="107" t="s">
        <v>1292</v>
      </c>
      <c r="E261" s="108"/>
      <c r="F261" s="4" t="s">
        <v>896</v>
      </c>
      <c r="G261" s="16">
        <v>2</v>
      </c>
      <c r="H261" s="16">
        <v>0</v>
      </c>
    </row>
    <row r="262" spans="1:8" ht="12.75">
      <c r="A262" s="4" t="s">
        <v>138</v>
      </c>
      <c r="B262" s="4"/>
      <c r="C262" s="4" t="s">
        <v>416</v>
      </c>
      <c r="D262" s="107" t="s">
        <v>726</v>
      </c>
      <c r="E262" s="108"/>
      <c r="F262" s="4" t="s">
        <v>894</v>
      </c>
      <c r="G262" s="16">
        <v>4</v>
      </c>
      <c r="H262" s="16">
        <v>0</v>
      </c>
    </row>
    <row r="263" spans="1:8" ht="12.75">
      <c r="A263" s="4" t="s">
        <v>139</v>
      </c>
      <c r="B263" s="4"/>
      <c r="C263" s="4" t="s">
        <v>417</v>
      </c>
      <c r="D263" s="107" t="s">
        <v>1293</v>
      </c>
      <c r="E263" s="108"/>
      <c r="F263" s="4" t="s">
        <v>896</v>
      </c>
      <c r="G263" s="16">
        <v>4</v>
      </c>
      <c r="H263" s="16">
        <v>0</v>
      </c>
    </row>
    <row r="264" spans="1:8" ht="12.75">
      <c r="A264" s="4" t="s">
        <v>140</v>
      </c>
      <c r="B264" s="4"/>
      <c r="C264" s="4" t="s">
        <v>419</v>
      </c>
      <c r="D264" s="107" t="s">
        <v>728</v>
      </c>
      <c r="E264" s="108"/>
      <c r="F264" s="4" t="s">
        <v>895</v>
      </c>
      <c r="G264" s="16">
        <v>109.67578</v>
      </c>
      <c r="H264" s="16">
        <v>0</v>
      </c>
    </row>
    <row r="265" spans="1:8" ht="12" customHeight="1">
      <c r="A265" s="4"/>
      <c r="B265" s="4"/>
      <c r="C265" s="4"/>
      <c r="D265" s="123" t="s">
        <v>1111</v>
      </c>
      <c r="E265" s="124"/>
      <c r="F265" s="123"/>
      <c r="G265" s="49">
        <v>105.17578</v>
      </c>
      <c r="H265" s="27"/>
    </row>
    <row r="266" spans="1:8" ht="12" customHeight="1">
      <c r="A266" s="4"/>
      <c r="B266" s="4"/>
      <c r="C266" s="4"/>
      <c r="D266" s="123" t="s">
        <v>1112</v>
      </c>
      <c r="E266" s="124"/>
      <c r="F266" s="123"/>
      <c r="G266" s="49">
        <v>4.5</v>
      </c>
      <c r="H266" s="27"/>
    </row>
    <row r="267" spans="1:8" ht="12.75">
      <c r="A267" s="4" t="s">
        <v>141</v>
      </c>
      <c r="B267" s="4"/>
      <c r="C267" s="4" t="s">
        <v>419</v>
      </c>
      <c r="D267" s="107" t="s">
        <v>729</v>
      </c>
      <c r="E267" s="108"/>
      <c r="F267" s="4" t="s">
        <v>895</v>
      </c>
      <c r="G267" s="16">
        <v>112</v>
      </c>
      <c r="H267" s="16">
        <v>0</v>
      </c>
    </row>
    <row r="268" spans="1:8" ht="12" customHeight="1">
      <c r="A268" s="4"/>
      <c r="B268" s="4"/>
      <c r="C268" s="4"/>
      <c r="D268" s="123" t="s">
        <v>1089</v>
      </c>
      <c r="E268" s="124"/>
      <c r="F268" s="123"/>
      <c r="G268" s="49">
        <v>112</v>
      </c>
      <c r="H268" s="27"/>
    </row>
    <row r="269" spans="1:8" ht="12.75">
      <c r="A269" s="4" t="s">
        <v>142</v>
      </c>
      <c r="B269" s="4"/>
      <c r="C269" s="4" t="s">
        <v>420</v>
      </c>
      <c r="D269" s="107" t="s">
        <v>730</v>
      </c>
      <c r="E269" s="108"/>
      <c r="F269" s="4" t="s">
        <v>895</v>
      </c>
      <c r="G269" s="16">
        <v>23.7175</v>
      </c>
      <c r="H269" s="16">
        <v>0</v>
      </c>
    </row>
    <row r="270" spans="1:8" ht="12" customHeight="1">
      <c r="A270" s="4"/>
      <c r="B270" s="4"/>
      <c r="C270" s="4"/>
      <c r="D270" s="123" t="s">
        <v>1113</v>
      </c>
      <c r="E270" s="124"/>
      <c r="F270" s="123"/>
      <c r="G270" s="49">
        <v>23.7175</v>
      </c>
      <c r="H270" s="27"/>
    </row>
    <row r="271" spans="1:8" ht="12.75">
      <c r="A271" s="6" t="s">
        <v>143</v>
      </c>
      <c r="B271" s="6"/>
      <c r="C271" s="6" t="s">
        <v>421</v>
      </c>
      <c r="D271" s="111" t="s">
        <v>731</v>
      </c>
      <c r="E271" s="112"/>
      <c r="F271" s="6" t="s">
        <v>895</v>
      </c>
      <c r="G271" s="17">
        <v>123.2</v>
      </c>
      <c r="H271" s="17">
        <v>0</v>
      </c>
    </row>
    <row r="272" spans="1:8" ht="12" customHeight="1">
      <c r="A272" s="6"/>
      <c r="B272" s="6"/>
      <c r="C272" s="6"/>
      <c r="D272" s="125" t="s">
        <v>1114</v>
      </c>
      <c r="E272" s="126"/>
      <c r="F272" s="125"/>
      <c r="G272" s="50">
        <v>123.2</v>
      </c>
      <c r="H272" s="29"/>
    </row>
    <row r="273" spans="1:8" ht="12.75">
      <c r="A273" s="6" t="s">
        <v>144</v>
      </c>
      <c r="B273" s="6"/>
      <c r="C273" s="6" t="s">
        <v>422</v>
      </c>
      <c r="D273" s="111" t="s">
        <v>732</v>
      </c>
      <c r="E273" s="112"/>
      <c r="F273" s="6" t="s">
        <v>895</v>
      </c>
      <c r="G273" s="17">
        <v>26.07</v>
      </c>
      <c r="H273" s="17">
        <v>0</v>
      </c>
    </row>
    <row r="274" spans="1:8" ht="12" customHeight="1">
      <c r="A274" s="6"/>
      <c r="B274" s="6"/>
      <c r="C274" s="6"/>
      <c r="D274" s="125" t="s">
        <v>1115</v>
      </c>
      <c r="E274" s="126"/>
      <c r="F274" s="125"/>
      <c r="G274" s="50">
        <v>26.07</v>
      </c>
      <c r="H274" s="29"/>
    </row>
    <row r="275" spans="1:8" ht="12.75">
      <c r="A275" s="4" t="s">
        <v>145</v>
      </c>
      <c r="B275" s="4"/>
      <c r="C275" s="4" t="s">
        <v>423</v>
      </c>
      <c r="D275" s="107" t="s">
        <v>733</v>
      </c>
      <c r="E275" s="108"/>
      <c r="F275" s="4" t="s">
        <v>899</v>
      </c>
      <c r="G275" s="16">
        <v>18</v>
      </c>
      <c r="H275" s="16">
        <v>0</v>
      </c>
    </row>
    <row r="276" spans="1:8" ht="12" customHeight="1">
      <c r="A276" s="4"/>
      <c r="B276" s="4"/>
      <c r="C276" s="4"/>
      <c r="D276" s="123" t="s">
        <v>1116</v>
      </c>
      <c r="E276" s="124"/>
      <c r="F276" s="123"/>
      <c r="G276" s="49">
        <v>18</v>
      </c>
      <c r="H276" s="27"/>
    </row>
    <row r="277" spans="1:8" ht="12.75">
      <c r="A277" s="6" t="s">
        <v>146</v>
      </c>
      <c r="B277" s="6"/>
      <c r="C277" s="6" t="s">
        <v>424</v>
      </c>
      <c r="D277" s="111" t="s">
        <v>734</v>
      </c>
      <c r="E277" s="112"/>
      <c r="F277" s="6" t="s">
        <v>895</v>
      </c>
      <c r="G277" s="17">
        <v>119.9</v>
      </c>
      <c r="H277" s="17">
        <v>0</v>
      </c>
    </row>
    <row r="278" spans="1:8" ht="12" customHeight="1">
      <c r="A278" s="6"/>
      <c r="B278" s="6"/>
      <c r="C278" s="6"/>
      <c r="D278" s="125" t="s">
        <v>1117</v>
      </c>
      <c r="E278" s="126"/>
      <c r="F278" s="125"/>
      <c r="G278" s="50">
        <v>119.9</v>
      </c>
      <c r="H278" s="29"/>
    </row>
    <row r="279" spans="1:8" ht="12.75">
      <c r="A279" s="4" t="s">
        <v>147</v>
      </c>
      <c r="B279" s="4"/>
      <c r="C279" s="4" t="s">
        <v>420</v>
      </c>
      <c r="D279" s="107" t="s">
        <v>730</v>
      </c>
      <c r="E279" s="108"/>
      <c r="F279" s="4" t="s">
        <v>895</v>
      </c>
      <c r="G279" s="16">
        <v>25.11124</v>
      </c>
      <c r="H279" s="16">
        <v>0</v>
      </c>
    </row>
    <row r="280" spans="1:8" ht="12" customHeight="1">
      <c r="A280" s="4"/>
      <c r="B280" s="4"/>
      <c r="C280" s="4"/>
      <c r="D280" s="123" t="s">
        <v>1118</v>
      </c>
      <c r="E280" s="124"/>
      <c r="F280" s="123"/>
      <c r="G280" s="49">
        <v>25.11124</v>
      </c>
      <c r="H280" s="27"/>
    </row>
    <row r="281" spans="1:8" ht="12.75">
      <c r="A281" s="4" t="s">
        <v>148</v>
      </c>
      <c r="B281" s="4"/>
      <c r="C281" s="4" t="s">
        <v>423</v>
      </c>
      <c r="D281" s="107" t="s">
        <v>733</v>
      </c>
      <c r="E281" s="108"/>
      <c r="F281" s="4" t="s">
        <v>899</v>
      </c>
      <c r="G281" s="16">
        <v>18.01</v>
      </c>
      <c r="H281" s="16">
        <v>0</v>
      </c>
    </row>
    <row r="282" spans="1:8" ht="12" customHeight="1">
      <c r="A282" s="4"/>
      <c r="B282" s="4"/>
      <c r="C282" s="4"/>
      <c r="D282" s="123" t="s">
        <v>1119</v>
      </c>
      <c r="E282" s="124"/>
      <c r="F282" s="123"/>
      <c r="G282" s="49">
        <v>18.01</v>
      </c>
      <c r="H282" s="27"/>
    </row>
    <row r="283" spans="1:8" ht="12.75">
      <c r="A283" s="4" t="s">
        <v>149</v>
      </c>
      <c r="B283" s="4"/>
      <c r="C283" s="4" t="s">
        <v>425</v>
      </c>
      <c r="D283" s="107" t="s">
        <v>735</v>
      </c>
      <c r="E283" s="108"/>
      <c r="F283" s="4" t="s">
        <v>895</v>
      </c>
      <c r="G283" s="16">
        <v>84</v>
      </c>
      <c r="H283" s="16">
        <v>0</v>
      </c>
    </row>
    <row r="284" spans="1:8" ht="12" customHeight="1">
      <c r="A284" s="4"/>
      <c r="B284" s="4"/>
      <c r="C284" s="4"/>
      <c r="D284" s="123" t="s">
        <v>1120</v>
      </c>
      <c r="E284" s="124"/>
      <c r="F284" s="123"/>
      <c r="G284" s="49">
        <v>84</v>
      </c>
      <c r="H284" s="27"/>
    </row>
    <row r="285" spans="1:8" ht="12.75">
      <c r="A285" s="6" t="s">
        <v>150</v>
      </c>
      <c r="B285" s="6"/>
      <c r="C285" s="6" t="s">
        <v>426</v>
      </c>
      <c r="D285" s="111" t="s">
        <v>736</v>
      </c>
      <c r="E285" s="112"/>
      <c r="F285" s="6" t="s">
        <v>895</v>
      </c>
      <c r="G285" s="17">
        <v>85.365</v>
      </c>
      <c r="H285" s="17">
        <v>0</v>
      </c>
    </row>
    <row r="286" spans="1:8" ht="12" customHeight="1">
      <c r="A286" s="6"/>
      <c r="B286" s="6"/>
      <c r="C286" s="6"/>
      <c r="D286" s="125" t="s">
        <v>1121</v>
      </c>
      <c r="E286" s="126"/>
      <c r="F286" s="125"/>
      <c r="G286" s="50">
        <v>81.3</v>
      </c>
      <c r="H286" s="29"/>
    </row>
    <row r="287" spans="1:8" ht="12" customHeight="1">
      <c r="A287" s="6"/>
      <c r="B287" s="6"/>
      <c r="C287" s="6"/>
      <c r="D287" s="125" t="s">
        <v>1122</v>
      </c>
      <c r="E287" s="126"/>
      <c r="F287" s="125"/>
      <c r="G287" s="50">
        <v>4.065</v>
      </c>
      <c r="H287" s="29"/>
    </row>
    <row r="288" spans="1:8" ht="12.75">
      <c r="A288" s="4" t="s">
        <v>151</v>
      </c>
      <c r="B288" s="4"/>
      <c r="C288" s="4" t="s">
        <v>428</v>
      </c>
      <c r="D288" s="107" t="s">
        <v>738</v>
      </c>
      <c r="E288" s="108"/>
      <c r="F288" s="4" t="s">
        <v>899</v>
      </c>
      <c r="G288" s="16">
        <v>120.705</v>
      </c>
      <c r="H288" s="16">
        <v>0</v>
      </c>
    </row>
    <row r="289" spans="1:8" ht="12" customHeight="1">
      <c r="A289" s="4"/>
      <c r="B289" s="4"/>
      <c r="C289" s="4"/>
      <c r="D289" s="123" t="s">
        <v>1123</v>
      </c>
      <c r="E289" s="124"/>
      <c r="F289" s="123"/>
      <c r="G289" s="49">
        <v>39.165</v>
      </c>
      <c r="H289" s="27"/>
    </row>
    <row r="290" spans="1:8" ht="12" customHeight="1">
      <c r="A290" s="4"/>
      <c r="B290" s="4"/>
      <c r="C290" s="4"/>
      <c r="D290" s="123" t="s">
        <v>1124</v>
      </c>
      <c r="E290" s="124"/>
      <c r="F290" s="123"/>
      <c r="G290" s="49">
        <v>76.74</v>
      </c>
      <c r="H290" s="27"/>
    </row>
    <row r="291" spans="1:8" ht="12" customHeight="1">
      <c r="A291" s="4"/>
      <c r="B291" s="4"/>
      <c r="C291" s="4"/>
      <c r="D291" s="123" t="s">
        <v>1125</v>
      </c>
      <c r="E291" s="124"/>
      <c r="F291" s="123"/>
      <c r="G291" s="49">
        <v>3.5</v>
      </c>
      <c r="H291" s="27"/>
    </row>
    <row r="292" spans="1:8" ht="12" customHeight="1">
      <c r="A292" s="4"/>
      <c r="B292" s="4"/>
      <c r="C292" s="4"/>
      <c r="D292" s="123" t="s">
        <v>1126</v>
      </c>
      <c r="E292" s="124"/>
      <c r="F292" s="123"/>
      <c r="G292" s="49">
        <v>1.3</v>
      </c>
      <c r="H292" s="27"/>
    </row>
    <row r="293" spans="1:8" ht="12.75">
      <c r="A293" s="6" t="s">
        <v>152</v>
      </c>
      <c r="B293" s="6"/>
      <c r="C293" s="6" t="s">
        <v>429</v>
      </c>
      <c r="D293" s="111" t="s">
        <v>739</v>
      </c>
      <c r="E293" s="112"/>
      <c r="F293" s="6" t="s">
        <v>897</v>
      </c>
      <c r="G293" s="17">
        <v>4.25847</v>
      </c>
      <c r="H293" s="17">
        <v>0</v>
      </c>
    </row>
    <row r="294" spans="1:8" ht="12" customHeight="1">
      <c r="A294" s="6"/>
      <c r="B294" s="6"/>
      <c r="C294" s="6"/>
      <c r="D294" s="125" t="s">
        <v>1127</v>
      </c>
      <c r="E294" s="126"/>
      <c r="F294" s="125"/>
      <c r="G294" s="50">
        <v>4.05569</v>
      </c>
      <c r="H294" s="29"/>
    </row>
    <row r="295" spans="1:8" ht="12" customHeight="1">
      <c r="A295" s="6"/>
      <c r="B295" s="6"/>
      <c r="C295" s="6"/>
      <c r="D295" s="125" t="s">
        <v>1128</v>
      </c>
      <c r="E295" s="126"/>
      <c r="F295" s="125"/>
      <c r="G295" s="50">
        <v>0.20278</v>
      </c>
      <c r="H295" s="29"/>
    </row>
    <row r="296" spans="1:8" ht="12.75">
      <c r="A296" s="4" t="s">
        <v>153</v>
      </c>
      <c r="B296" s="4"/>
      <c r="C296" s="4" t="s">
        <v>430</v>
      </c>
      <c r="D296" s="107" t="s">
        <v>740</v>
      </c>
      <c r="E296" s="108"/>
      <c r="F296" s="4" t="s">
        <v>901</v>
      </c>
      <c r="G296" s="16">
        <v>1</v>
      </c>
      <c r="H296" s="16">
        <v>0</v>
      </c>
    </row>
    <row r="297" spans="1:8" ht="12.75">
      <c r="A297" s="4" t="s">
        <v>154</v>
      </c>
      <c r="B297" s="4"/>
      <c r="C297" s="4" t="s">
        <v>432</v>
      </c>
      <c r="D297" s="107" t="s">
        <v>742</v>
      </c>
      <c r="E297" s="108"/>
      <c r="F297" s="4" t="s">
        <v>895</v>
      </c>
      <c r="G297" s="16">
        <v>112</v>
      </c>
      <c r="H297" s="16">
        <v>0</v>
      </c>
    </row>
    <row r="298" spans="1:8" ht="12" customHeight="1">
      <c r="A298" s="4"/>
      <c r="B298" s="4"/>
      <c r="C298" s="4"/>
      <c r="D298" s="123" t="s">
        <v>1089</v>
      </c>
      <c r="E298" s="124"/>
      <c r="F298" s="123"/>
      <c r="G298" s="49">
        <v>112</v>
      </c>
      <c r="H298" s="27"/>
    </row>
    <row r="299" spans="1:8" ht="12.75">
      <c r="A299" s="4" t="s">
        <v>155</v>
      </c>
      <c r="B299" s="4"/>
      <c r="C299" s="4" t="s">
        <v>433</v>
      </c>
      <c r="D299" s="107" t="s">
        <v>743</v>
      </c>
      <c r="E299" s="108"/>
      <c r="F299" s="4" t="s">
        <v>899</v>
      </c>
      <c r="G299" s="16">
        <v>18.3</v>
      </c>
      <c r="H299" s="16">
        <v>0</v>
      </c>
    </row>
    <row r="300" spans="1:8" ht="12" customHeight="1">
      <c r="A300" s="4"/>
      <c r="B300" s="4"/>
      <c r="C300" s="4"/>
      <c r="D300" s="123" t="s">
        <v>1129</v>
      </c>
      <c r="E300" s="124"/>
      <c r="F300" s="123"/>
      <c r="G300" s="49">
        <v>18.3</v>
      </c>
      <c r="H300" s="27"/>
    </row>
    <row r="301" spans="1:8" ht="12.75">
      <c r="A301" s="4" t="s">
        <v>156</v>
      </c>
      <c r="B301" s="4"/>
      <c r="C301" s="4" t="s">
        <v>434</v>
      </c>
      <c r="D301" s="107" t="s">
        <v>744</v>
      </c>
      <c r="E301" s="108"/>
      <c r="F301" s="4" t="s">
        <v>899</v>
      </c>
      <c r="G301" s="16">
        <v>29.27</v>
      </c>
      <c r="H301" s="16">
        <v>0</v>
      </c>
    </row>
    <row r="302" spans="1:8" ht="12" customHeight="1">
      <c r="A302" s="4"/>
      <c r="B302" s="4"/>
      <c r="C302" s="4"/>
      <c r="D302" s="123" t="s">
        <v>1130</v>
      </c>
      <c r="E302" s="124"/>
      <c r="F302" s="123"/>
      <c r="G302" s="49">
        <v>29.27</v>
      </c>
      <c r="H302" s="27"/>
    </row>
    <row r="303" spans="1:8" ht="12.75">
      <c r="A303" s="4" t="s">
        <v>157</v>
      </c>
      <c r="B303" s="4"/>
      <c r="C303" s="4" t="s">
        <v>435</v>
      </c>
      <c r="D303" s="107" t="s">
        <v>745</v>
      </c>
      <c r="E303" s="108"/>
      <c r="F303" s="4" t="s">
        <v>896</v>
      </c>
      <c r="G303" s="16">
        <v>2</v>
      </c>
      <c r="H303" s="16">
        <v>0</v>
      </c>
    </row>
    <row r="304" spans="1:8" ht="12.75">
      <c r="A304" s="4" t="s">
        <v>158</v>
      </c>
      <c r="B304" s="4"/>
      <c r="C304" s="4" t="s">
        <v>436</v>
      </c>
      <c r="D304" s="107" t="s">
        <v>746</v>
      </c>
      <c r="E304" s="108"/>
      <c r="F304" s="4" t="s">
        <v>899</v>
      </c>
      <c r="G304" s="16">
        <v>17.878</v>
      </c>
      <c r="H304" s="16">
        <v>0</v>
      </c>
    </row>
    <row r="305" spans="1:8" ht="12" customHeight="1">
      <c r="A305" s="4"/>
      <c r="B305" s="4"/>
      <c r="C305" s="4"/>
      <c r="D305" s="123" t="s">
        <v>1131</v>
      </c>
      <c r="E305" s="124"/>
      <c r="F305" s="123"/>
      <c r="G305" s="49">
        <v>17.878</v>
      </c>
      <c r="H305" s="27"/>
    </row>
    <row r="306" spans="1:8" ht="12.75">
      <c r="A306" s="4" t="s">
        <v>159</v>
      </c>
      <c r="B306" s="4"/>
      <c r="C306" s="4" t="s">
        <v>437</v>
      </c>
      <c r="D306" s="107" t="s">
        <v>747</v>
      </c>
      <c r="E306" s="108"/>
      <c r="F306" s="4" t="s">
        <v>896</v>
      </c>
      <c r="G306" s="16">
        <v>2</v>
      </c>
      <c r="H306" s="16">
        <v>0</v>
      </c>
    </row>
    <row r="307" spans="1:8" ht="12.75">
      <c r="A307" s="4" t="s">
        <v>160</v>
      </c>
      <c r="B307" s="4"/>
      <c r="C307" s="4" t="s">
        <v>438</v>
      </c>
      <c r="D307" s="107" t="s">
        <v>748</v>
      </c>
      <c r="E307" s="108"/>
      <c r="F307" s="4" t="s">
        <v>899</v>
      </c>
      <c r="G307" s="16">
        <v>17.878</v>
      </c>
      <c r="H307" s="16">
        <v>0</v>
      </c>
    </row>
    <row r="308" spans="1:8" ht="12" customHeight="1">
      <c r="A308" s="4"/>
      <c r="B308" s="4"/>
      <c r="C308" s="4"/>
      <c r="D308" s="123" t="s">
        <v>1131</v>
      </c>
      <c r="E308" s="124"/>
      <c r="F308" s="123"/>
      <c r="G308" s="49">
        <v>17.878</v>
      </c>
      <c r="H308" s="27"/>
    </row>
    <row r="309" spans="1:8" ht="12.75">
      <c r="A309" s="4" t="s">
        <v>161</v>
      </c>
      <c r="B309" s="4"/>
      <c r="C309" s="4" t="s">
        <v>439</v>
      </c>
      <c r="D309" s="107" t="s">
        <v>749</v>
      </c>
      <c r="E309" s="108"/>
      <c r="F309" s="4" t="s">
        <v>899</v>
      </c>
      <c r="G309" s="16">
        <v>18.3</v>
      </c>
      <c r="H309" s="16">
        <v>0</v>
      </c>
    </row>
    <row r="310" spans="1:8" ht="12" customHeight="1">
      <c r="A310" s="4"/>
      <c r="B310" s="4"/>
      <c r="C310" s="4"/>
      <c r="D310" s="123" t="s">
        <v>1129</v>
      </c>
      <c r="E310" s="124"/>
      <c r="F310" s="123"/>
      <c r="G310" s="49">
        <v>18.3</v>
      </c>
      <c r="H310" s="27"/>
    </row>
    <row r="311" spans="1:8" ht="12.75">
      <c r="A311" s="4" t="s">
        <v>162</v>
      </c>
      <c r="B311" s="4"/>
      <c r="C311" s="4" t="s">
        <v>440</v>
      </c>
      <c r="D311" s="107" t="s">
        <v>750</v>
      </c>
      <c r="E311" s="108"/>
      <c r="F311" s="4" t="s">
        <v>899</v>
      </c>
      <c r="G311" s="16">
        <v>7</v>
      </c>
      <c r="H311" s="16">
        <v>0</v>
      </c>
    </row>
    <row r="312" spans="1:8" ht="12" customHeight="1">
      <c r="A312" s="4"/>
      <c r="B312" s="4"/>
      <c r="C312" s="4"/>
      <c r="D312" s="123" t="s">
        <v>1101</v>
      </c>
      <c r="E312" s="124"/>
      <c r="F312" s="123"/>
      <c r="G312" s="49">
        <v>7</v>
      </c>
      <c r="H312" s="27"/>
    </row>
    <row r="313" spans="1:8" ht="12.75">
      <c r="A313" s="4" t="s">
        <v>163</v>
      </c>
      <c r="B313" s="4"/>
      <c r="C313" s="4" t="s">
        <v>441</v>
      </c>
      <c r="D313" s="107" t="s">
        <v>751</v>
      </c>
      <c r="E313" s="108"/>
      <c r="F313" s="4" t="s">
        <v>899</v>
      </c>
      <c r="G313" s="16">
        <v>15.6</v>
      </c>
      <c r="H313" s="16">
        <v>0</v>
      </c>
    </row>
    <row r="314" spans="1:8" ht="12" customHeight="1">
      <c r="A314" s="4"/>
      <c r="B314" s="4"/>
      <c r="C314" s="4"/>
      <c r="D314" s="123" t="s">
        <v>1132</v>
      </c>
      <c r="E314" s="124"/>
      <c r="F314" s="123"/>
      <c r="G314" s="49">
        <v>7.6</v>
      </c>
      <c r="H314" s="27"/>
    </row>
    <row r="315" spans="1:8" ht="12" customHeight="1">
      <c r="A315" s="4"/>
      <c r="B315" s="4"/>
      <c r="C315" s="4"/>
      <c r="D315" s="123" t="s">
        <v>1133</v>
      </c>
      <c r="E315" s="124"/>
      <c r="F315" s="123"/>
      <c r="G315" s="49">
        <v>8</v>
      </c>
      <c r="H315" s="27"/>
    </row>
    <row r="316" spans="1:8" ht="12.75">
      <c r="A316" s="4" t="s">
        <v>164</v>
      </c>
      <c r="B316" s="4"/>
      <c r="C316" s="4" t="s">
        <v>443</v>
      </c>
      <c r="D316" s="107" t="s">
        <v>753</v>
      </c>
      <c r="E316" s="108"/>
      <c r="F316" s="4" t="s">
        <v>896</v>
      </c>
      <c r="G316" s="16">
        <v>5</v>
      </c>
      <c r="H316" s="16">
        <v>0</v>
      </c>
    </row>
    <row r="317" spans="1:8" ht="12" customHeight="1">
      <c r="A317" s="4"/>
      <c r="B317" s="4"/>
      <c r="C317" s="4"/>
      <c r="D317" s="123" t="s">
        <v>1022</v>
      </c>
      <c r="E317" s="124"/>
      <c r="F317" s="123"/>
      <c r="G317" s="49">
        <v>5</v>
      </c>
      <c r="H317" s="27"/>
    </row>
    <row r="318" spans="1:8" ht="12.75">
      <c r="A318" s="4" t="s">
        <v>165</v>
      </c>
      <c r="B318" s="4"/>
      <c r="C318" s="4" t="s">
        <v>444</v>
      </c>
      <c r="D318" s="107" t="s">
        <v>754</v>
      </c>
      <c r="E318" s="108"/>
      <c r="F318" s="4" t="s">
        <v>896</v>
      </c>
      <c r="G318" s="16">
        <v>2</v>
      </c>
      <c r="H318" s="16">
        <v>0</v>
      </c>
    </row>
    <row r="319" spans="1:8" ht="12" customHeight="1">
      <c r="A319" s="4"/>
      <c r="B319" s="4"/>
      <c r="C319" s="4"/>
      <c r="D319" s="123" t="s">
        <v>1019</v>
      </c>
      <c r="E319" s="124"/>
      <c r="F319" s="123"/>
      <c r="G319" s="49">
        <v>2</v>
      </c>
      <c r="H319" s="27"/>
    </row>
    <row r="320" spans="1:8" ht="12.75">
      <c r="A320" s="6" t="s">
        <v>166</v>
      </c>
      <c r="B320" s="6"/>
      <c r="C320" s="6" t="s">
        <v>445</v>
      </c>
      <c r="D320" s="111" t="s">
        <v>755</v>
      </c>
      <c r="E320" s="112"/>
      <c r="F320" s="6" t="s">
        <v>896</v>
      </c>
      <c r="G320" s="17">
        <v>5</v>
      </c>
      <c r="H320" s="17">
        <v>0</v>
      </c>
    </row>
    <row r="321" spans="1:8" ht="12" customHeight="1">
      <c r="A321" s="6"/>
      <c r="B321" s="6"/>
      <c r="C321" s="6"/>
      <c r="D321" s="125" t="s">
        <v>1022</v>
      </c>
      <c r="E321" s="126"/>
      <c r="F321" s="125"/>
      <c r="G321" s="50">
        <v>5</v>
      </c>
      <c r="H321" s="29"/>
    </row>
    <row r="322" spans="1:8" ht="12.75">
      <c r="A322" s="6" t="s">
        <v>167</v>
      </c>
      <c r="B322" s="6"/>
      <c r="C322" s="6" t="s">
        <v>446</v>
      </c>
      <c r="D322" s="111" t="s">
        <v>756</v>
      </c>
      <c r="E322" s="112"/>
      <c r="F322" s="6" t="s">
        <v>896</v>
      </c>
      <c r="G322" s="17">
        <v>2</v>
      </c>
      <c r="H322" s="17">
        <v>0</v>
      </c>
    </row>
    <row r="323" spans="1:8" ht="12" customHeight="1">
      <c r="A323" s="6"/>
      <c r="B323" s="6"/>
      <c r="C323" s="6"/>
      <c r="D323" s="125" t="s">
        <v>1019</v>
      </c>
      <c r="E323" s="126"/>
      <c r="F323" s="125"/>
      <c r="G323" s="50">
        <v>2</v>
      </c>
      <c r="H323" s="29"/>
    </row>
    <row r="324" spans="1:8" ht="12.75">
      <c r="A324" s="4" t="s">
        <v>168</v>
      </c>
      <c r="B324" s="4"/>
      <c r="C324" s="4" t="s">
        <v>447</v>
      </c>
      <c r="D324" s="107" t="s">
        <v>757</v>
      </c>
      <c r="E324" s="108"/>
      <c r="F324" s="4" t="s">
        <v>895</v>
      </c>
      <c r="G324" s="16">
        <v>25.11124</v>
      </c>
      <c r="H324" s="16">
        <v>0</v>
      </c>
    </row>
    <row r="325" spans="1:8" ht="12" customHeight="1">
      <c r="A325" s="4"/>
      <c r="B325" s="4"/>
      <c r="C325" s="4"/>
      <c r="D325" s="123" t="s">
        <v>1118</v>
      </c>
      <c r="E325" s="124"/>
      <c r="F325" s="123"/>
      <c r="G325" s="49">
        <v>25.11124</v>
      </c>
      <c r="H325" s="27"/>
    </row>
    <row r="326" spans="1:8" ht="12.75">
      <c r="A326" s="4" t="s">
        <v>169</v>
      </c>
      <c r="B326" s="4"/>
      <c r="C326" s="4" t="s">
        <v>448</v>
      </c>
      <c r="D326" s="107" t="s">
        <v>758</v>
      </c>
      <c r="E326" s="108"/>
      <c r="F326" s="4" t="s">
        <v>895</v>
      </c>
      <c r="G326" s="16">
        <v>16.209</v>
      </c>
      <c r="H326" s="16">
        <v>0</v>
      </c>
    </row>
    <row r="327" spans="1:8" ht="12" customHeight="1">
      <c r="A327" s="4"/>
      <c r="B327" s="4"/>
      <c r="C327" s="4"/>
      <c r="D327" s="123" t="s">
        <v>1134</v>
      </c>
      <c r="E327" s="124"/>
      <c r="F327" s="123"/>
      <c r="G327" s="49">
        <v>16.209</v>
      </c>
      <c r="H327" s="27"/>
    </row>
    <row r="328" spans="1:8" ht="12.75">
      <c r="A328" s="4" t="s">
        <v>170</v>
      </c>
      <c r="B328" s="4"/>
      <c r="C328" s="4" t="s">
        <v>450</v>
      </c>
      <c r="D328" s="107" t="s">
        <v>760</v>
      </c>
      <c r="E328" s="108"/>
      <c r="F328" s="4" t="s">
        <v>893</v>
      </c>
      <c r="G328" s="16">
        <v>150</v>
      </c>
      <c r="H328" s="16">
        <v>0</v>
      </c>
    </row>
    <row r="329" spans="1:8" ht="12" customHeight="1">
      <c r="A329" s="4"/>
      <c r="B329" s="4"/>
      <c r="C329" s="4"/>
      <c r="D329" s="123" t="s">
        <v>1135</v>
      </c>
      <c r="E329" s="124"/>
      <c r="F329" s="123"/>
      <c r="G329" s="49">
        <v>150</v>
      </c>
      <c r="H329" s="27"/>
    </row>
    <row r="330" spans="1:8" ht="12.75">
      <c r="A330" s="6" t="s">
        <v>171</v>
      </c>
      <c r="B330" s="6"/>
      <c r="C330" s="6" t="s">
        <v>451</v>
      </c>
      <c r="D330" s="111" t="s">
        <v>761</v>
      </c>
      <c r="E330" s="112"/>
      <c r="F330" s="6" t="s">
        <v>896</v>
      </c>
      <c r="G330" s="17">
        <v>3</v>
      </c>
      <c r="H330" s="17">
        <v>0</v>
      </c>
    </row>
    <row r="331" spans="1:8" ht="12" customHeight="1">
      <c r="A331" s="6"/>
      <c r="B331" s="6"/>
      <c r="C331" s="6"/>
      <c r="D331" s="125" t="s">
        <v>1083</v>
      </c>
      <c r="E331" s="126"/>
      <c r="F331" s="125"/>
      <c r="G331" s="50">
        <v>3</v>
      </c>
      <c r="H331" s="29"/>
    </row>
    <row r="332" spans="1:8" ht="12.75">
      <c r="A332" s="4" t="s">
        <v>172</v>
      </c>
      <c r="B332" s="4"/>
      <c r="C332" s="4" t="s">
        <v>452</v>
      </c>
      <c r="D332" s="107" t="s">
        <v>762</v>
      </c>
      <c r="E332" s="108"/>
      <c r="F332" s="4" t="s">
        <v>893</v>
      </c>
      <c r="G332" s="16">
        <v>668.68</v>
      </c>
      <c r="H332" s="16">
        <v>0</v>
      </c>
    </row>
    <row r="333" spans="1:8" ht="12" customHeight="1">
      <c r="A333" s="4"/>
      <c r="B333" s="4"/>
      <c r="C333" s="4"/>
      <c r="D333" s="123" t="s">
        <v>1136</v>
      </c>
      <c r="E333" s="124"/>
      <c r="F333" s="123"/>
      <c r="G333" s="49">
        <v>668.68</v>
      </c>
      <c r="H333" s="27"/>
    </row>
    <row r="334" spans="1:8" ht="12.75">
      <c r="A334" s="6" t="s">
        <v>173</v>
      </c>
      <c r="B334" s="6"/>
      <c r="C334" s="6" t="s">
        <v>453</v>
      </c>
      <c r="D334" s="111" t="s">
        <v>763</v>
      </c>
      <c r="E334" s="112"/>
      <c r="F334" s="6" t="s">
        <v>898</v>
      </c>
      <c r="G334" s="17">
        <v>0.44086</v>
      </c>
      <c r="H334" s="17">
        <v>0</v>
      </c>
    </row>
    <row r="335" spans="1:8" ht="12" customHeight="1">
      <c r="A335" s="6"/>
      <c r="B335" s="6"/>
      <c r="C335" s="6"/>
      <c r="D335" s="125" t="s">
        <v>1137</v>
      </c>
      <c r="E335" s="126"/>
      <c r="F335" s="125"/>
      <c r="G335" s="50">
        <v>0.44086</v>
      </c>
      <c r="H335" s="29"/>
    </row>
    <row r="336" spans="1:8" ht="12.75">
      <c r="A336" s="6" t="s">
        <v>174</v>
      </c>
      <c r="B336" s="6"/>
      <c r="C336" s="6" t="s">
        <v>454</v>
      </c>
      <c r="D336" s="111" t="s">
        <v>764</v>
      </c>
      <c r="E336" s="112"/>
      <c r="F336" s="6" t="s">
        <v>898</v>
      </c>
      <c r="G336" s="17">
        <v>0.10174</v>
      </c>
      <c r="H336" s="17">
        <v>0</v>
      </c>
    </row>
    <row r="337" spans="1:8" ht="12" customHeight="1">
      <c r="A337" s="6"/>
      <c r="B337" s="6"/>
      <c r="C337" s="6"/>
      <c r="D337" s="125" t="s">
        <v>1138</v>
      </c>
      <c r="E337" s="126"/>
      <c r="F337" s="125"/>
      <c r="G337" s="50">
        <v>0.10174</v>
      </c>
      <c r="H337" s="29"/>
    </row>
    <row r="338" spans="1:8" ht="12.75">
      <c r="A338" s="6" t="s">
        <v>175</v>
      </c>
      <c r="B338" s="6"/>
      <c r="C338" s="6" t="s">
        <v>455</v>
      </c>
      <c r="D338" s="111" t="s">
        <v>765</v>
      </c>
      <c r="E338" s="112"/>
      <c r="F338" s="6" t="s">
        <v>898</v>
      </c>
      <c r="G338" s="17">
        <v>0.12608</v>
      </c>
      <c r="H338" s="17">
        <v>0</v>
      </c>
    </row>
    <row r="339" spans="1:8" ht="12" customHeight="1">
      <c r="A339" s="6"/>
      <c r="B339" s="6"/>
      <c r="C339" s="6"/>
      <c r="D339" s="125" t="s">
        <v>1139</v>
      </c>
      <c r="E339" s="126"/>
      <c r="F339" s="125"/>
      <c r="G339" s="50">
        <v>0.12008</v>
      </c>
      <c r="H339" s="29"/>
    </row>
    <row r="340" spans="1:8" ht="12" customHeight="1">
      <c r="A340" s="6"/>
      <c r="B340" s="6"/>
      <c r="C340" s="6"/>
      <c r="D340" s="125" t="s">
        <v>1140</v>
      </c>
      <c r="E340" s="126"/>
      <c r="F340" s="125"/>
      <c r="G340" s="50">
        <v>0.006</v>
      </c>
      <c r="H340" s="29"/>
    </row>
    <row r="341" spans="1:8" ht="12.75">
      <c r="A341" s="6" t="s">
        <v>176</v>
      </c>
      <c r="B341" s="6"/>
      <c r="C341" s="6" t="s">
        <v>456</v>
      </c>
      <c r="D341" s="111" t="s">
        <v>766</v>
      </c>
      <c r="E341" s="112"/>
      <c r="F341" s="6" t="s">
        <v>896</v>
      </c>
      <c r="G341" s="17">
        <v>3</v>
      </c>
      <c r="H341" s="17">
        <v>0</v>
      </c>
    </row>
    <row r="342" spans="1:8" ht="12" customHeight="1">
      <c r="A342" s="6"/>
      <c r="B342" s="6"/>
      <c r="C342" s="6"/>
      <c r="D342" s="125" t="s">
        <v>1083</v>
      </c>
      <c r="E342" s="126"/>
      <c r="F342" s="125"/>
      <c r="G342" s="50">
        <v>3</v>
      </c>
      <c r="H342" s="29"/>
    </row>
    <row r="343" spans="1:8" ht="12.75">
      <c r="A343" s="4" t="s">
        <v>177</v>
      </c>
      <c r="B343" s="4"/>
      <c r="C343" s="4" t="s">
        <v>458</v>
      </c>
      <c r="D343" s="107" t="s">
        <v>768</v>
      </c>
      <c r="E343" s="108"/>
      <c r="F343" s="4" t="s">
        <v>895</v>
      </c>
      <c r="G343" s="16">
        <v>74.84</v>
      </c>
      <c r="H343" s="16">
        <v>0</v>
      </c>
    </row>
    <row r="344" spans="1:8" ht="12" customHeight="1">
      <c r="A344" s="4"/>
      <c r="B344" s="4"/>
      <c r="C344" s="4"/>
      <c r="D344" s="123" t="s">
        <v>1141</v>
      </c>
      <c r="E344" s="124"/>
      <c r="F344" s="123"/>
      <c r="G344" s="49">
        <v>74.84</v>
      </c>
      <c r="H344" s="27"/>
    </row>
    <row r="345" spans="1:8" ht="12.75">
      <c r="A345" s="4" t="s">
        <v>178</v>
      </c>
      <c r="B345" s="4"/>
      <c r="C345" s="4" t="s">
        <v>459</v>
      </c>
      <c r="D345" s="107" t="s">
        <v>769</v>
      </c>
      <c r="E345" s="108"/>
      <c r="F345" s="4" t="s">
        <v>899</v>
      </c>
      <c r="G345" s="16">
        <v>60.292</v>
      </c>
      <c r="H345" s="16">
        <v>0</v>
      </c>
    </row>
    <row r="346" spans="1:8" ht="12" customHeight="1">
      <c r="A346" s="4"/>
      <c r="B346" s="4"/>
      <c r="C346" s="4"/>
      <c r="D346" s="123" t="s">
        <v>1142</v>
      </c>
      <c r="E346" s="124"/>
      <c r="F346" s="123"/>
      <c r="G346" s="49">
        <v>60.292</v>
      </c>
      <c r="H346" s="27"/>
    </row>
    <row r="347" spans="1:8" ht="12.75">
      <c r="A347" s="6" t="s">
        <v>179</v>
      </c>
      <c r="B347" s="6"/>
      <c r="C347" s="6" t="s">
        <v>460</v>
      </c>
      <c r="D347" s="111" t="s">
        <v>770</v>
      </c>
      <c r="E347" s="112"/>
      <c r="F347" s="6" t="s">
        <v>895</v>
      </c>
      <c r="G347" s="17">
        <v>91.13</v>
      </c>
      <c r="H347" s="17">
        <v>0</v>
      </c>
    </row>
    <row r="348" spans="1:8" ht="12" customHeight="1">
      <c r="A348" s="6"/>
      <c r="B348" s="6"/>
      <c r="C348" s="6"/>
      <c r="D348" s="125" t="s">
        <v>1143</v>
      </c>
      <c r="E348" s="126"/>
      <c r="F348" s="125"/>
      <c r="G348" s="50">
        <v>84.63</v>
      </c>
      <c r="H348" s="29"/>
    </row>
    <row r="349" spans="1:8" ht="12" customHeight="1">
      <c r="A349" s="6"/>
      <c r="B349" s="6"/>
      <c r="C349" s="6"/>
      <c r="D349" s="125" t="s">
        <v>1144</v>
      </c>
      <c r="E349" s="126"/>
      <c r="F349" s="125"/>
      <c r="G349" s="50">
        <v>6.5</v>
      </c>
      <c r="H349" s="29"/>
    </row>
    <row r="350" spans="1:8" ht="12.75">
      <c r="A350" s="4" t="s">
        <v>180</v>
      </c>
      <c r="B350" s="4"/>
      <c r="C350" s="4" t="s">
        <v>461</v>
      </c>
      <c r="D350" s="107" t="s">
        <v>771</v>
      </c>
      <c r="E350" s="108"/>
      <c r="F350" s="4" t="s">
        <v>895</v>
      </c>
      <c r="G350" s="16">
        <v>6.46</v>
      </c>
      <c r="H350" s="16">
        <v>0</v>
      </c>
    </row>
    <row r="351" spans="1:8" ht="12" customHeight="1">
      <c r="A351" s="4"/>
      <c r="B351" s="4"/>
      <c r="C351" s="4"/>
      <c r="D351" s="123" t="s">
        <v>1145</v>
      </c>
      <c r="E351" s="124"/>
      <c r="F351" s="123"/>
      <c r="G351" s="49">
        <v>6.46</v>
      </c>
      <c r="H351" s="27"/>
    </row>
    <row r="352" spans="1:8" ht="12.75">
      <c r="A352" s="6" t="s">
        <v>181</v>
      </c>
      <c r="B352" s="6"/>
      <c r="C352" s="6" t="s">
        <v>462</v>
      </c>
      <c r="D352" s="111" t="s">
        <v>772</v>
      </c>
      <c r="E352" s="112"/>
      <c r="F352" s="6" t="s">
        <v>895</v>
      </c>
      <c r="G352" s="17">
        <v>7.656</v>
      </c>
      <c r="H352" s="17">
        <v>0</v>
      </c>
    </row>
    <row r="353" spans="1:8" ht="12" customHeight="1">
      <c r="A353" s="6"/>
      <c r="B353" s="6"/>
      <c r="C353" s="6"/>
      <c r="D353" s="125" t="s">
        <v>1145</v>
      </c>
      <c r="E353" s="126"/>
      <c r="F353" s="125"/>
      <c r="G353" s="50">
        <v>6.46</v>
      </c>
      <c r="H353" s="29"/>
    </row>
    <row r="354" spans="1:8" ht="12" customHeight="1">
      <c r="A354" s="6"/>
      <c r="B354" s="6"/>
      <c r="C354" s="6"/>
      <c r="D354" s="125" t="s">
        <v>1146</v>
      </c>
      <c r="E354" s="126"/>
      <c r="F354" s="125"/>
      <c r="G354" s="50">
        <v>0.5</v>
      </c>
      <c r="H354" s="29"/>
    </row>
    <row r="355" spans="1:8" ht="12" customHeight="1">
      <c r="A355" s="6"/>
      <c r="B355" s="6"/>
      <c r="C355" s="6"/>
      <c r="D355" s="125" t="s">
        <v>1147</v>
      </c>
      <c r="E355" s="126"/>
      <c r="F355" s="125"/>
      <c r="G355" s="50">
        <v>0.696</v>
      </c>
      <c r="H355" s="29"/>
    </row>
    <row r="356" spans="1:8" ht="12.75">
      <c r="A356" s="4" t="s">
        <v>182</v>
      </c>
      <c r="B356" s="4"/>
      <c r="C356" s="4" t="s">
        <v>464</v>
      </c>
      <c r="D356" s="107" t="s">
        <v>774</v>
      </c>
      <c r="E356" s="108"/>
      <c r="F356" s="4" t="s">
        <v>895</v>
      </c>
      <c r="G356" s="16">
        <v>5.403</v>
      </c>
      <c r="H356" s="16">
        <v>0</v>
      </c>
    </row>
    <row r="357" spans="1:8" ht="12" customHeight="1">
      <c r="A357" s="4"/>
      <c r="B357" s="4"/>
      <c r="C357" s="4"/>
      <c r="D357" s="123" t="s">
        <v>1148</v>
      </c>
      <c r="E357" s="124"/>
      <c r="F357" s="123"/>
      <c r="G357" s="49">
        <v>5.403</v>
      </c>
      <c r="H357" s="27"/>
    </row>
    <row r="358" spans="1:8" ht="12.75">
      <c r="A358" s="4" t="s">
        <v>183</v>
      </c>
      <c r="B358" s="4"/>
      <c r="C358" s="4" t="s">
        <v>466</v>
      </c>
      <c r="D358" s="107" t="s">
        <v>776</v>
      </c>
      <c r="E358" s="108"/>
      <c r="F358" s="4" t="s">
        <v>895</v>
      </c>
      <c r="G358" s="16">
        <v>23.4148</v>
      </c>
      <c r="H358" s="16">
        <v>0</v>
      </c>
    </row>
    <row r="359" spans="1:8" ht="12" customHeight="1">
      <c r="A359" s="4"/>
      <c r="B359" s="4"/>
      <c r="C359" s="4"/>
      <c r="D359" s="123" t="s">
        <v>1149</v>
      </c>
      <c r="E359" s="124"/>
      <c r="F359" s="123"/>
      <c r="G359" s="49">
        <v>4.0848</v>
      </c>
      <c r="H359" s="27"/>
    </row>
    <row r="360" spans="1:8" ht="12" customHeight="1">
      <c r="A360" s="4"/>
      <c r="B360" s="4"/>
      <c r="C360" s="4"/>
      <c r="D360" s="123" t="s">
        <v>1150</v>
      </c>
      <c r="E360" s="124"/>
      <c r="F360" s="123"/>
      <c r="G360" s="49">
        <v>3.9755</v>
      </c>
      <c r="H360" s="27"/>
    </row>
    <row r="361" spans="1:8" ht="12" customHeight="1">
      <c r="A361" s="4"/>
      <c r="B361" s="4"/>
      <c r="C361" s="4"/>
      <c r="D361" s="123" t="s">
        <v>1151</v>
      </c>
      <c r="E361" s="124"/>
      <c r="F361" s="123"/>
      <c r="G361" s="49">
        <v>15.3545</v>
      </c>
      <c r="H361" s="27"/>
    </row>
    <row r="362" spans="1:8" ht="12.75">
      <c r="A362" s="6" t="s">
        <v>184</v>
      </c>
      <c r="B362" s="6"/>
      <c r="C362" s="6" t="s">
        <v>462</v>
      </c>
      <c r="D362" s="111" t="s">
        <v>777</v>
      </c>
      <c r="E362" s="112"/>
      <c r="F362" s="6" t="s">
        <v>895</v>
      </c>
      <c r="G362" s="17">
        <v>25.75628</v>
      </c>
      <c r="H362" s="17">
        <v>0</v>
      </c>
    </row>
    <row r="363" spans="1:8" ht="12" customHeight="1">
      <c r="A363" s="6"/>
      <c r="B363" s="6"/>
      <c r="C363" s="6"/>
      <c r="D363" s="125" t="s">
        <v>1152</v>
      </c>
      <c r="E363" s="126"/>
      <c r="F363" s="125"/>
      <c r="G363" s="50">
        <v>23.4148</v>
      </c>
      <c r="H363" s="29"/>
    </row>
    <row r="364" spans="1:8" ht="12" customHeight="1">
      <c r="A364" s="6"/>
      <c r="B364" s="6"/>
      <c r="C364" s="6"/>
      <c r="D364" s="125" t="s">
        <v>1153</v>
      </c>
      <c r="E364" s="126"/>
      <c r="F364" s="125"/>
      <c r="G364" s="50">
        <v>2.34148</v>
      </c>
      <c r="H364" s="29"/>
    </row>
    <row r="365" spans="1:8" ht="12.75">
      <c r="A365" s="4" t="s">
        <v>185</v>
      </c>
      <c r="B365" s="4"/>
      <c r="C365" s="4" t="s">
        <v>467</v>
      </c>
      <c r="D365" s="107" t="s">
        <v>778</v>
      </c>
      <c r="E365" s="108"/>
      <c r="F365" s="4" t="s">
        <v>895</v>
      </c>
      <c r="G365" s="16">
        <v>0</v>
      </c>
      <c r="H365" s="16">
        <v>0</v>
      </c>
    </row>
    <row r="366" spans="1:8" ht="12.75">
      <c r="A366" s="4" t="s">
        <v>186</v>
      </c>
      <c r="B366" s="4"/>
      <c r="C366" s="4" t="s">
        <v>468</v>
      </c>
      <c r="D366" s="107" t="s">
        <v>779</v>
      </c>
      <c r="E366" s="108"/>
      <c r="F366" s="4" t="s">
        <v>895</v>
      </c>
      <c r="G366" s="16">
        <v>0</v>
      </c>
      <c r="H366" s="16">
        <v>0</v>
      </c>
    </row>
    <row r="367" spans="1:8" ht="12.75">
      <c r="A367" s="4" t="s">
        <v>187</v>
      </c>
      <c r="B367" s="4"/>
      <c r="C367" s="4" t="s">
        <v>470</v>
      </c>
      <c r="D367" s="107" t="s">
        <v>781</v>
      </c>
      <c r="E367" s="108"/>
      <c r="F367" s="4" t="s">
        <v>895</v>
      </c>
      <c r="G367" s="16">
        <v>78.6</v>
      </c>
      <c r="H367" s="16">
        <v>0</v>
      </c>
    </row>
    <row r="368" spans="1:8" ht="12" customHeight="1">
      <c r="A368" s="4"/>
      <c r="B368" s="4"/>
      <c r="C368" s="4"/>
      <c r="D368" s="123" t="s">
        <v>1154</v>
      </c>
      <c r="E368" s="124"/>
      <c r="F368" s="123"/>
      <c r="G368" s="49">
        <v>78.6</v>
      </c>
      <c r="H368" s="27"/>
    </row>
    <row r="369" spans="1:8" ht="12.75">
      <c r="A369" s="4" t="s">
        <v>188</v>
      </c>
      <c r="B369" s="4"/>
      <c r="C369" s="4" t="s">
        <v>472</v>
      </c>
      <c r="D369" s="107" t="s">
        <v>783</v>
      </c>
      <c r="E369" s="108"/>
      <c r="F369" s="4" t="s">
        <v>895</v>
      </c>
      <c r="G369" s="16">
        <v>197.38548</v>
      </c>
      <c r="H369" s="16">
        <v>0</v>
      </c>
    </row>
    <row r="370" spans="1:8" ht="12" customHeight="1">
      <c r="A370" s="4"/>
      <c r="B370" s="4"/>
      <c r="C370" s="4"/>
      <c r="D370" s="123" t="s">
        <v>1155</v>
      </c>
      <c r="E370" s="124"/>
      <c r="F370" s="123"/>
      <c r="G370" s="49">
        <v>140.83324</v>
      </c>
      <c r="H370" s="27"/>
    </row>
    <row r="371" spans="1:8" ht="12" customHeight="1">
      <c r="A371" s="4"/>
      <c r="B371" s="4"/>
      <c r="C371" s="4"/>
      <c r="D371" s="123" t="s">
        <v>1156</v>
      </c>
      <c r="E371" s="124"/>
      <c r="F371" s="123"/>
      <c r="G371" s="49">
        <v>56.55224</v>
      </c>
      <c r="H371" s="27"/>
    </row>
    <row r="372" spans="1:8" ht="12.75">
      <c r="A372" s="4" t="s">
        <v>189</v>
      </c>
      <c r="B372" s="4"/>
      <c r="C372" s="4" t="s">
        <v>473</v>
      </c>
      <c r="D372" s="107" t="s">
        <v>784</v>
      </c>
      <c r="E372" s="108"/>
      <c r="F372" s="4" t="s">
        <v>895</v>
      </c>
      <c r="G372" s="16">
        <v>198</v>
      </c>
      <c r="H372" s="16">
        <v>0</v>
      </c>
    </row>
    <row r="373" spans="1:8" ht="12" customHeight="1">
      <c r="A373" s="4"/>
      <c r="B373" s="4"/>
      <c r="C373" s="4"/>
      <c r="D373" s="123" t="s">
        <v>1157</v>
      </c>
      <c r="E373" s="124"/>
      <c r="F373" s="123"/>
      <c r="G373" s="49">
        <v>198</v>
      </c>
      <c r="H373" s="27"/>
    </row>
    <row r="374" spans="1:8" ht="12.75">
      <c r="A374" s="4" t="s">
        <v>190</v>
      </c>
      <c r="B374" s="4"/>
      <c r="C374" s="4" t="s">
        <v>474</v>
      </c>
      <c r="D374" s="107" t="s">
        <v>786</v>
      </c>
      <c r="E374" s="108"/>
      <c r="F374" s="4" t="s">
        <v>899</v>
      </c>
      <c r="G374" s="16">
        <v>18</v>
      </c>
      <c r="H374" s="16">
        <v>0</v>
      </c>
    </row>
    <row r="375" spans="1:8" ht="12" customHeight="1">
      <c r="A375" s="4"/>
      <c r="B375" s="4"/>
      <c r="C375" s="4"/>
      <c r="D375" s="123" t="s">
        <v>1116</v>
      </c>
      <c r="E375" s="124"/>
      <c r="F375" s="123"/>
      <c r="G375" s="49">
        <v>18</v>
      </c>
      <c r="H375" s="27"/>
    </row>
    <row r="376" spans="1:8" ht="12.75">
      <c r="A376" s="6" t="s">
        <v>191</v>
      </c>
      <c r="B376" s="6"/>
      <c r="C376" s="6" t="s">
        <v>475</v>
      </c>
      <c r="D376" s="111" t="s">
        <v>787</v>
      </c>
      <c r="E376" s="112"/>
      <c r="F376" s="6" t="s">
        <v>898</v>
      </c>
      <c r="G376" s="17">
        <v>6.125</v>
      </c>
      <c r="H376" s="17">
        <v>0</v>
      </c>
    </row>
    <row r="377" spans="1:8" ht="12" customHeight="1">
      <c r="A377" s="6"/>
      <c r="B377" s="6"/>
      <c r="C377" s="6"/>
      <c r="D377" s="125" t="s">
        <v>1158</v>
      </c>
      <c r="E377" s="126"/>
      <c r="F377" s="125"/>
      <c r="G377" s="50">
        <v>6.125</v>
      </c>
      <c r="H377" s="29"/>
    </row>
    <row r="378" spans="1:8" ht="12.75">
      <c r="A378" s="4" t="s">
        <v>192</v>
      </c>
      <c r="B378" s="4"/>
      <c r="C378" s="4" t="s">
        <v>476</v>
      </c>
      <c r="D378" s="107" t="s">
        <v>789</v>
      </c>
      <c r="E378" s="108"/>
      <c r="F378" s="4" t="s">
        <v>895</v>
      </c>
      <c r="G378" s="16">
        <v>69</v>
      </c>
      <c r="H378" s="16">
        <v>0</v>
      </c>
    </row>
    <row r="379" spans="1:8" ht="12" customHeight="1">
      <c r="A379" s="4"/>
      <c r="B379" s="4"/>
      <c r="C379" s="4"/>
      <c r="D379" s="123" t="s">
        <v>1159</v>
      </c>
      <c r="E379" s="124"/>
      <c r="F379" s="123"/>
      <c r="G379" s="49">
        <v>69</v>
      </c>
      <c r="H379" s="27"/>
    </row>
    <row r="380" spans="1:8" ht="12.75">
      <c r="A380" s="4" t="s">
        <v>193</v>
      </c>
      <c r="B380" s="4"/>
      <c r="C380" s="4" t="s">
        <v>477</v>
      </c>
      <c r="D380" s="107" t="s">
        <v>790</v>
      </c>
      <c r="E380" s="108"/>
      <c r="F380" s="4" t="s">
        <v>895</v>
      </c>
      <c r="G380" s="16">
        <v>103.5</v>
      </c>
      <c r="H380" s="16">
        <v>0</v>
      </c>
    </row>
    <row r="381" spans="1:8" ht="12" customHeight="1">
      <c r="A381" s="4"/>
      <c r="B381" s="4"/>
      <c r="C381" s="4"/>
      <c r="D381" s="123" t="s">
        <v>1160</v>
      </c>
      <c r="E381" s="124"/>
      <c r="F381" s="123"/>
      <c r="G381" s="49">
        <v>103.5</v>
      </c>
      <c r="H381" s="27"/>
    </row>
    <row r="382" spans="1:8" ht="12.75">
      <c r="A382" s="4" t="s">
        <v>194</v>
      </c>
      <c r="B382" s="4"/>
      <c r="C382" s="4" t="s">
        <v>478</v>
      </c>
      <c r="D382" s="107" t="s">
        <v>791</v>
      </c>
      <c r="E382" s="108"/>
      <c r="F382" s="4" t="s">
        <v>902</v>
      </c>
      <c r="G382" s="16">
        <v>2760</v>
      </c>
      <c r="H382" s="16">
        <v>0</v>
      </c>
    </row>
    <row r="383" spans="1:8" ht="12" customHeight="1">
      <c r="A383" s="4"/>
      <c r="B383" s="4"/>
      <c r="C383" s="4"/>
      <c r="D383" s="123" t="s">
        <v>1161</v>
      </c>
      <c r="E383" s="124"/>
      <c r="F383" s="123"/>
      <c r="G383" s="49">
        <v>2760</v>
      </c>
      <c r="H383" s="27"/>
    </row>
    <row r="384" spans="1:8" ht="12.75">
      <c r="A384" s="4" t="s">
        <v>195</v>
      </c>
      <c r="B384" s="4"/>
      <c r="C384" s="4" t="s">
        <v>479</v>
      </c>
      <c r="D384" s="107" t="s">
        <v>792</v>
      </c>
      <c r="E384" s="108"/>
      <c r="F384" s="4" t="s">
        <v>895</v>
      </c>
      <c r="G384" s="16">
        <v>69</v>
      </c>
      <c r="H384" s="16">
        <v>0</v>
      </c>
    </row>
    <row r="385" spans="1:8" ht="12" customHeight="1">
      <c r="A385" s="4"/>
      <c r="B385" s="4"/>
      <c r="C385" s="4"/>
      <c r="D385" s="123" t="s">
        <v>1162</v>
      </c>
      <c r="E385" s="124"/>
      <c r="F385" s="123"/>
      <c r="G385" s="49">
        <v>69</v>
      </c>
      <c r="H385" s="27"/>
    </row>
    <row r="386" spans="1:8" ht="12.75">
      <c r="A386" s="4" t="s">
        <v>196</v>
      </c>
      <c r="B386" s="4"/>
      <c r="C386" s="4" t="s">
        <v>480</v>
      </c>
      <c r="D386" s="107" t="s">
        <v>793</v>
      </c>
      <c r="E386" s="108"/>
      <c r="F386" s="4" t="s">
        <v>895</v>
      </c>
      <c r="G386" s="16">
        <v>83</v>
      </c>
      <c r="H386" s="16">
        <v>0</v>
      </c>
    </row>
    <row r="387" spans="1:8" ht="12" customHeight="1">
      <c r="A387" s="4"/>
      <c r="B387" s="4"/>
      <c r="C387" s="4"/>
      <c r="D387" s="123" t="s">
        <v>1163</v>
      </c>
      <c r="E387" s="124"/>
      <c r="F387" s="123"/>
      <c r="G387" s="49">
        <v>83</v>
      </c>
      <c r="H387" s="27"/>
    </row>
    <row r="388" spans="1:8" ht="12.75">
      <c r="A388" s="4" t="s">
        <v>197</v>
      </c>
      <c r="B388" s="4"/>
      <c r="C388" s="4" t="s">
        <v>481</v>
      </c>
      <c r="D388" s="107" t="s">
        <v>795</v>
      </c>
      <c r="E388" s="108"/>
      <c r="F388" s="4" t="s">
        <v>895</v>
      </c>
      <c r="G388" s="16">
        <v>81.3</v>
      </c>
      <c r="H388" s="16">
        <v>0</v>
      </c>
    </row>
    <row r="389" spans="1:8" ht="12" customHeight="1">
      <c r="A389" s="4"/>
      <c r="B389" s="4"/>
      <c r="C389" s="4"/>
      <c r="D389" s="123" t="s">
        <v>1095</v>
      </c>
      <c r="E389" s="124"/>
      <c r="F389" s="123"/>
      <c r="G389" s="49">
        <v>81.3</v>
      </c>
      <c r="H389" s="27"/>
    </row>
    <row r="390" spans="1:8" ht="12.75">
      <c r="A390" s="4" t="s">
        <v>198</v>
      </c>
      <c r="B390" s="4"/>
      <c r="C390" s="4" t="s">
        <v>482</v>
      </c>
      <c r="D390" s="107" t="s">
        <v>797</v>
      </c>
      <c r="E390" s="108"/>
      <c r="F390" s="4" t="s">
        <v>897</v>
      </c>
      <c r="G390" s="16">
        <v>9.08486</v>
      </c>
      <c r="H390" s="16">
        <v>0</v>
      </c>
    </row>
    <row r="391" spans="1:8" ht="12" customHeight="1">
      <c r="A391" s="4"/>
      <c r="B391" s="4"/>
      <c r="C391" s="4"/>
      <c r="D391" s="123" t="s">
        <v>1164</v>
      </c>
      <c r="E391" s="124"/>
      <c r="F391" s="123"/>
      <c r="G391" s="49">
        <v>4.70873</v>
      </c>
      <c r="H391" s="27"/>
    </row>
    <row r="392" spans="1:8" ht="12" customHeight="1">
      <c r="A392" s="4"/>
      <c r="B392" s="4"/>
      <c r="C392" s="4"/>
      <c r="D392" s="123" t="s">
        <v>1165</v>
      </c>
      <c r="E392" s="124"/>
      <c r="F392" s="123"/>
      <c r="G392" s="49">
        <v>6.7833</v>
      </c>
      <c r="H392" s="27"/>
    </row>
    <row r="393" spans="1:8" ht="12" customHeight="1">
      <c r="A393" s="4"/>
      <c r="B393" s="4"/>
      <c r="C393" s="4"/>
      <c r="D393" s="123" t="s">
        <v>1166</v>
      </c>
      <c r="E393" s="124"/>
      <c r="F393" s="123"/>
      <c r="G393" s="49">
        <v>-2.40717</v>
      </c>
      <c r="H393" s="27"/>
    </row>
    <row r="394" spans="1:8" ht="12.75">
      <c r="A394" s="4" t="s">
        <v>199</v>
      </c>
      <c r="B394" s="4"/>
      <c r="C394" s="4" t="s">
        <v>483</v>
      </c>
      <c r="D394" s="107" t="s">
        <v>798</v>
      </c>
      <c r="E394" s="108"/>
      <c r="F394" s="4" t="s">
        <v>897</v>
      </c>
      <c r="G394" s="16">
        <v>10.75641</v>
      </c>
      <c r="H394" s="16">
        <v>0</v>
      </c>
    </row>
    <row r="395" spans="1:8" ht="12" customHeight="1">
      <c r="A395" s="4"/>
      <c r="B395" s="4"/>
      <c r="C395" s="4"/>
      <c r="D395" s="123" t="s">
        <v>1167</v>
      </c>
      <c r="E395" s="124"/>
      <c r="F395" s="123"/>
      <c r="G395" s="49">
        <v>11.36141</v>
      </c>
      <c r="H395" s="27"/>
    </row>
    <row r="396" spans="1:8" ht="12" customHeight="1">
      <c r="A396" s="4"/>
      <c r="B396" s="4"/>
      <c r="C396" s="4"/>
      <c r="D396" s="123" t="s">
        <v>1168</v>
      </c>
      <c r="E396" s="124"/>
      <c r="F396" s="123"/>
      <c r="G396" s="49">
        <v>-0.605</v>
      </c>
      <c r="H396" s="27"/>
    </row>
    <row r="397" spans="1:8" ht="12.75">
      <c r="A397" s="4" t="s">
        <v>200</v>
      </c>
      <c r="B397" s="4"/>
      <c r="C397" s="4" t="s">
        <v>484</v>
      </c>
      <c r="D397" s="107" t="s">
        <v>799</v>
      </c>
      <c r="E397" s="108"/>
      <c r="F397" s="4" t="s">
        <v>899</v>
      </c>
      <c r="G397" s="16">
        <v>49.5</v>
      </c>
      <c r="H397" s="16">
        <v>0</v>
      </c>
    </row>
    <row r="398" spans="1:8" ht="12" customHeight="1">
      <c r="A398" s="4"/>
      <c r="B398" s="4"/>
      <c r="C398" s="4"/>
      <c r="D398" s="123" t="s">
        <v>1169</v>
      </c>
      <c r="E398" s="124"/>
      <c r="F398" s="123"/>
      <c r="G398" s="49">
        <v>49.5</v>
      </c>
      <c r="H398" s="27"/>
    </row>
    <row r="399" spans="1:8" ht="12.75">
      <c r="A399" s="4" t="s">
        <v>201</v>
      </c>
      <c r="B399" s="4"/>
      <c r="C399" s="4" t="s">
        <v>485</v>
      </c>
      <c r="D399" s="107" t="s">
        <v>800</v>
      </c>
      <c r="E399" s="108"/>
      <c r="F399" s="4" t="s">
        <v>895</v>
      </c>
      <c r="G399" s="16">
        <v>49.5</v>
      </c>
      <c r="H399" s="16">
        <v>0</v>
      </c>
    </row>
    <row r="400" spans="1:8" ht="12" customHeight="1">
      <c r="A400" s="4"/>
      <c r="B400" s="4"/>
      <c r="C400" s="4"/>
      <c r="D400" s="123" t="s">
        <v>1169</v>
      </c>
      <c r="E400" s="124"/>
      <c r="F400" s="123"/>
      <c r="G400" s="49">
        <v>49.5</v>
      </c>
      <c r="H400" s="27"/>
    </row>
    <row r="401" spans="1:8" ht="12.75">
      <c r="A401" s="4" t="s">
        <v>202</v>
      </c>
      <c r="B401" s="4"/>
      <c r="C401" s="4" t="s">
        <v>486</v>
      </c>
      <c r="D401" s="107" t="s">
        <v>801</v>
      </c>
      <c r="E401" s="108"/>
      <c r="F401" s="4" t="s">
        <v>895</v>
      </c>
      <c r="G401" s="16">
        <v>49</v>
      </c>
      <c r="H401" s="16">
        <v>0</v>
      </c>
    </row>
    <row r="402" spans="1:8" ht="12.75">
      <c r="A402" s="4" t="s">
        <v>203</v>
      </c>
      <c r="B402" s="4"/>
      <c r="C402" s="4" t="s">
        <v>487</v>
      </c>
      <c r="D402" s="107" t="s">
        <v>802</v>
      </c>
      <c r="E402" s="108"/>
      <c r="F402" s="4" t="s">
        <v>895</v>
      </c>
      <c r="G402" s="16">
        <v>49.5</v>
      </c>
      <c r="H402" s="16">
        <v>0</v>
      </c>
    </row>
    <row r="403" spans="1:8" ht="12" customHeight="1">
      <c r="A403" s="4"/>
      <c r="B403" s="4"/>
      <c r="C403" s="4"/>
      <c r="D403" s="123" t="s">
        <v>1170</v>
      </c>
      <c r="E403" s="124"/>
      <c r="F403" s="123"/>
      <c r="G403" s="49">
        <v>49.5</v>
      </c>
      <c r="H403" s="27"/>
    </row>
    <row r="404" spans="1:8" ht="12.75">
      <c r="A404" s="4" t="s">
        <v>204</v>
      </c>
      <c r="B404" s="4"/>
      <c r="C404" s="4" t="s">
        <v>488</v>
      </c>
      <c r="D404" s="107" t="s">
        <v>803</v>
      </c>
      <c r="E404" s="108"/>
      <c r="F404" s="4" t="s">
        <v>895</v>
      </c>
      <c r="G404" s="16">
        <v>5.55</v>
      </c>
      <c r="H404" s="16">
        <v>0</v>
      </c>
    </row>
    <row r="405" spans="1:8" ht="12" customHeight="1">
      <c r="A405" s="4"/>
      <c r="B405" s="4"/>
      <c r="C405" s="4"/>
      <c r="D405" s="123" t="s">
        <v>1171</v>
      </c>
      <c r="E405" s="124"/>
      <c r="F405" s="123"/>
      <c r="G405" s="49">
        <v>5.55</v>
      </c>
      <c r="H405" s="27"/>
    </row>
    <row r="406" spans="1:8" ht="12.75">
      <c r="A406" s="4" t="s">
        <v>205</v>
      </c>
      <c r="B406" s="4"/>
      <c r="C406" s="4" t="s">
        <v>489</v>
      </c>
      <c r="D406" s="107" t="s">
        <v>804</v>
      </c>
      <c r="E406" s="108"/>
      <c r="F406" s="4" t="s">
        <v>896</v>
      </c>
      <c r="G406" s="16">
        <v>3</v>
      </c>
      <c r="H406" s="16">
        <v>0</v>
      </c>
    </row>
    <row r="407" spans="1:8" ht="12" customHeight="1">
      <c r="A407" s="4"/>
      <c r="B407" s="4"/>
      <c r="C407" s="4"/>
      <c r="D407" s="123" t="s">
        <v>1083</v>
      </c>
      <c r="E407" s="124"/>
      <c r="F407" s="123"/>
      <c r="G407" s="49">
        <v>3</v>
      </c>
      <c r="H407" s="27"/>
    </row>
    <row r="408" spans="1:8" ht="12.75">
      <c r="A408" s="4" t="s">
        <v>206</v>
      </c>
      <c r="B408" s="4"/>
      <c r="C408" s="4" t="s">
        <v>490</v>
      </c>
      <c r="D408" s="107" t="s">
        <v>805</v>
      </c>
      <c r="E408" s="108"/>
      <c r="F408" s="4" t="s">
        <v>895</v>
      </c>
      <c r="G408" s="16">
        <v>6.264</v>
      </c>
      <c r="H408" s="16">
        <v>0</v>
      </c>
    </row>
    <row r="409" spans="1:8" ht="12" customHeight="1">
      <c r="A409" s="4"/>
      <c r="B409" s="4"/>
      <c r="C409" s="4"/>
      <c r="D409" s="123" t="s">
        <v>1172</v>
      </c>
      <c r="E409" s="124"/>
      <c r="F409" s="123"/>
      <c r="G409" s="49">
        <v>6.264</v>
      </c>
      <c r="H409" s="27"/>
    </row>
    <row r="410" spans="1:8" ht="12.75">
      <c r="A410" s="4" t="s">
        <v>207</v>
      </c>
      <c r="B410" s="4"/>
      <c r="C410" s="4" t="s">
        <v>491</v>
      </c>
      <c r="D410" s="107" t="s">
        <v>806</v>
      </c>
      <c r="E410" s="108"/>
      <c r="F410" s="4" t="s">
        <v>896</v>
      </c>
      <c r="G410" s="16">
        <v>1</v>
      </c>
      <c r="H410" s="16">
        <v>0</v>
      </c>
    </row>
    <row r="411" spans="1:8" ht="12" customHeight="1">
      <c r="A411" s="4"/>
      <c r="B411" s="4"/>
      <c r="C411" s="4"/>
      <c r="D411" s="123" t="s">
        <v>1020</v>
      </c>
      <c r="E411" s="124"/>
      <c r="F411" s="123"/>
      <c r="G411" s="49">
        <v>1</v>
      </c>
      <c r="H411" s="27"/>
    </row>
    <row r="412" spans="1:8" ht="12.75">
      <c r="A412" s="4" t="s">
        <v>208</v>
      </c>
      <c r="B412" s="4"/>
      <c r="C412" s="4" t="s">
        <v>492</v>
      </c>
      <c r="D412" s="107" t="s">
        <v>807</v>
      </c>
      <c r="E412" s="108"/>
      <c r="F412" s="4" t="s">
        <v>895</v>
      </c>
      <c r="G412" s="16">
        <v>2</v>
      </c>
      <c r="H412" s="16">
        <v>0</v>
      </c>
    </row>
    <row r="413" spans="1:8" ht="12" customHeight="1">
      <c r="A413" s="4"/>
      <c r="B413" s="4"/>
      <c r="C413" s="4"/>
      <c r="D413" s="123" t="s">
        <v>1019</v>
      </c>
      <c r="E413" s="124"/>
      <c r="F413" s="123"/>
      <c r="G413" s="49">
        <v>2</v>
      </c>
      <c r="H413" s="27"/>
    </row>
    <row r="414" spans="1:8" ht="12.75">
      <c r="A414" s="4" t="s">
        <v>209</v>
      </c>
      <c r="B414" s="4"/>
      <c r="C414" s="4" t="s">
        <v>493</v>
      </c>
      <c r="D414" s="107" t="s">
        <v>808</v>
      </c>
      <c r="E414" s="108"/>
      <c r="F414" s="4" t="s">
        <v>895</v>
      </c>
      <c r="G414" s="16">
        <v>3.48</v>
      </c>
      <c r="H414" s="16">
        <v>0</v>
      </c>
    </row>
    <row r="415" spans="1:8" ht="12" customHeight="1">
      <c r="A415" s="4"/>
      <c r="B415" s="4"/>
      <c r="C415" s="4"/>
      <c r="D415" s="123" t="s">
        <v>1173</v>
      </c>
      <c r="E415" s="124"/>
      <c r="F415" s="123"/>
      <c r="G415" s="49">
        <v>3.48</v>
      </c>
      <c r="H415" s="27"/>
    </row>
    <row r="416" spans="1:8" ht="12.75">
      <c r="A416" s="4" t="s">
        <v>210</v>
      </c>
      <c r="B416" s="4"/>
      <c r="C416" s="4" t="s">
        <v>494</v>
      </c>
      <c r="D416" s="107" t="s">
        <v>809</v>
      </c>
      <c r="E416" s="108"/>
      <c r="F416" s="4" t="s">
        <v>896</v>
      </c>
      <c r="G416" s="16">
        <v>6</v>
      </c>
      <c r="H416" s="16">
        <v>0</v>
      </c>
    </row>
    <row r="417" spans="1:8" ht="12" customHeight="1">
      <c r="A417" s="4"/>
      <c r="B417" s="4"/>
      <c r="C417" s="4"/>
      <c r="D417" s="123" t="s">
        <v>1174</v>
      </c>
      <c r="E417" s="124"/>
      <c r="F417" s="123"/>
      <c r="G417" s="49">
        <v>6</v>
      </c>
      <c r="H417" s="27"/>
    </row>
    <row r="418" spans="1:8" ht="12.75">
      <c r="A418" s="4" t="s">
        <v>211</v>
      </c>
      <c r="B418" s="4"/>
      <c r="C418" s="4" t="s">
        <v>495</v>
      </c>
      <c r="D418" s="107" t="s">
        <v>810</v>
      </c>
      <c r="E418" s="108"/>
      <c r="F418" s="4" t="s">
        <v>899</v>
      </c>
      <c r="G418" s="16">
        <v>5</v>
      </c>
      <c r="H418" s="16">
        <v>0</v>
      </c>
    </row>
    <row r="419" spans="1:8" ht="12" customHeight="1">
      <c r="A419" s="4"/>
      <c r="B419" s="4"/>
      <c r="C419" s="4"/>
      <c r="D419" s="123" t="s">
        <v>1022</v>
      </c>
      <c r="E419" s="124"/>
      <c r="F419" s="123"/>
      <c r="G419" s="49">
        <v>5</v>
      </c>
      <c r="H419" s="27"/>
    </row>
    <row r="420" spans="1:8" ht="12.75">
      <c r="A420" s="4" t="s">
        <v>212</v>
      </c>
      <c r="B420" s="4"/>
      <c r="C420" s="4" t="s">
        <v>496</v>
      </c>
      <c r="D420" s="107" t="s">
        <v>811</v>
      </c>
      <c r="E420" s="108"/>
      <c r="F420" s="4" t="s">
        <v>896</v>
      </c>
      <c r="G420" s="16">
        <v>20</v>
      </c>
      <c r="H420" s="16">
        <v>0</v>
      </c>
    </row>
    <row r="421" spans="1:8" ht="12" customHeight="1">
      <c r="A421" s="4"/>
      <c r="B421" s="4"/>
      <c r="C421" s="4"/>
      <c r="D421" s="123" t="s">
        <v>1053</v>
      </c>
      <c r="E421" s="124"/>
      <c r="F421" s="123"/>
      <c r="G421" s="49">
        <v>20</v>
      </c>
      <c r="H421" s="27"/>
    </row>
    <row r="422" spans="1:8" ht="12.75">
      <c r="A422" s="4" t="s">
        <v>213</v>
      </c>
      <c r="B422" s="4"/>
      <c r="C422" s="4" t="s">
        <v>497</v>
      </c>
      <c r="D422" s="107" t="s">
        <v>813</v>
      </c>
      <c r="E422" s="108"/>
      <c r="F422" s="4" t="s">
        <v>899</v>
      </c>
      <c r="G422" s="16">
        <v>16.675</v>
      </c>
      <c r="H422" s="16">
        <v>0</v>
      </c>
    </row>
    <row r="423" spans="1:8" ht="12" customHeight="1">
      <c r="A423" s="4"/>
      <c r="B423" s="4"/>
      <c r="C423" s="4"/>
      <c r="D423" s="123" t="s">
        <v>1175</v>
      </c>
      <c r="E423" s="124"/>
      <c r="F423" s="123"/>
      <c r="G423" s="49">
        <v>16.675</v>
      </c>
      <c r="H423" s="27"/>
    </row>
    <row r="424" spans="1:8" ht="12.75">
      <c r="A424" s="4" t="s">
        <v>214</v>
      </c>
      <c r="B424" s="4"/>
      <c r="C424" s="4" t="s">
        <v>498</v>
      </c>
      <c r="D424" s="107" t="s">
        <v>814</v>
      </c>
      <c r="E424" s="108"/>
      <c r="F424" s="4" t="s">
        <v>895</v>
      </c>
      <c r="G424" s="16">
        <v>86.8</v>
      </c>
      <c r="H424" s="16">
        <v>0</v>
      </c>
    </row>
    <row r="425" spans="1:8" ht="12" customHeight="1">
      <c r="A425" s="4"/>
      <c r="B425" s="4"/>
      <c r="C425" s="4"/>
      <c r="D425" s="123" t="s">
        <v>1176</v>
      </c>
      <c r="E425" s="124"/>
      <c r="F425" s="123"/>
      <c r="G425" s="49">
        <v>55.8</v>
      </c>
      <c r="H425" s="27"/>
    </row>
    <row r="426" spans="1:8" ht="12" customHeight="1">
      <c r="A426" s="4"/>
      <c r="B426" s="4"/>
      <c r="C426" s="4"/>
      <c r="D426" s="123" t="s">
        <v>1177</v>
      </c>
      <c r="E426" s="124"/>
      <c r="F426" s="123"/>
      <c r="G426" s="49">
        <v>31</v>
      </c>
      <c r="H426" s="27"/>
    </row>
    <row r="427" spans="1:8" ht="12.75">
      <c r="A427" s="4" t="s">
        <v>215</v>
      </c>
      <c r="B427" s="4"/>
      <c r="C427" s="4" t="s">
        <v>499</v>
      </c>
      <c r="D427" s="107" t="s">
        <v>815</v>
      </c>
      <c r="E427" s="108"/>
      <c r="F427" s="4" t="s">
        <v>896</v>
      </c>
      <c r="G427" s="16">
        <v>1</v>
      </c>
      <c r="H427" s="16">
        <v>0</v>
      </c>
    </row>
    <row r="428" spans="1:8" ht="12" customHeight="1">
      <c r="A428" s="4"/>
      <c r="B428" s="4"/>
      <c r="C428" s="4"/>
      <c r="D428" s="123" t="s">
        <v>1020</v>
      </c>
      <c r="E428" s="124"/>
      <c r="F428" s="123"/>
      <c r="G428" s="49">
        <v>1</v>
      </c>
      <c r="H428" s="27"/>
    </row>
    <row r="429" spans="1:8" ht="12.75">
      <c r="A429" s="4" t="s">
        <v>216</v>
      </c>
      <c r="B429" s="4"/>
      <c r="C429" s="4" t="s">
        <v>500</v>
      </c>
      <c r="D429" s="107" t="s">
        <v>816</v>
      </c>
      <c r="E429" s="108"/>
      <c r="F429" s="4" t="s">
        <v>901</v>
      </c>
      <c r="G429" s="16">
        <v>1</v>
      </c>
      <c r="H429" s="16">
        <v>0</v>
      </c>
    </row>
    <row r="430" spans="1:8" ht="12" customHeight="1">
      <c r="A430" s="4"/>
      <c r="B430" s="4"/>
      <c r="C430" s="4"/>
      <c r="D430" s="123" t="s">
        <v>1020</v>
      </c>
      <c r="E430" s="124"/>
      <c r="F430" s="123"/>
      <c r="G430" s="49">
        <v>1</v>
      </c>
      <c r="H430" s="27"/>
    </row>
    <row r="431" spans="1:8" ht="12.75">
      <c r="A431" s="4" t="s">
        <v>217</v>
      </c>
      <c r="B431" s="4"/>
      <c r="C431" s="4" t="s">
        <v>501</v>
      </c>
      <c r="D431" s="107" t="s">
        <v>818</v>
      </c>
      <c r="E431" s="108"/>
      <c r="F431" s="4" t="s">
        <v>897</v>
      </c>
      <c r="G431" s="16">
        <v>20</v>
      </c>
      <c r="H431" s="16">
        <v>0</v>
      </c>
    </row>
    <row r="432" spans="1:8" ht="12" customHeight="1">
      <c r="A432" s="4"/>
      <c r="B432" s="4"/>
      <c r="C432" s="4"/>
      <c r="D432" s="123" t="s">
        <v>1178</v>
      </c>
      <c r="E432" s="124"/>
      <c r="F432" s="123"/>
      <c r="G432" s="49">
        <v>20</v>
      </c>
      <c r="H432" s="27"/>
    </row>
    <row r="433" spans="1:8" ht="12.75">
      <c r="A433" s="4" t="s">
        <v>218</v>
      </c>
      <c r="B433" s="4"/>
      <c r="C433" s="4" t="s">
        <v>502</v>
      </c>
      <c r="D433" s="107" t="s">
        <v>819</v>
      </c>
      <c r="E433" s="108"/>
      <c r="F433" s="4" t="s">
        <v>897</v>
      </c>
      <c r="G433" s="16">
        <v>35</v>
      </c>
      <c r="H433" s="16">
        <v>0</v>
      </c>
    </row>
    <row r="434" spans="1:8" ht="12" customHeight="1">
      <c r="A434" s="4"/>
      <c r="B434" s="4"/>
      <c r="C434" s="4"/>
      <c r="D434" s="123" t="s">
        <v>1179</v>
      </c>
      <c r="E434" s="124"/>
      <c r="F434" s="123"/>
      <c r="G434" s="49">
        <v>35</v>
      </c>
      <c r="H434" s="27"/>
    </row>
    <row r="435" spans="1:8" ht="12.75">
      <c r="A435" s="4" t="s">
        <v>219</v>
      </c>
      <c r="B435" s="4"/>
      <c r="C435" s="4" t="s">
        <v>504</v>
      </c>
      <c r="D435" s="107" t="s">
        <v>821</v>
      </c>
      <c r="E435" s="108"/>
      <c r="F435" s="4" t="s">
        <v>898</v>
      </c>
      <c r="G435" s="16">
        <v>101.9759</v>
      </c>
      <c r="H435" s="16">
        <v>0</v>
      </c>
    </row>
    <row r="436" spans="1:8" ht="12" customHeight="1">
      <c r="A436" s="4"/>
      <c r="B436" s="4"/>
      <c r="C436" s="4"/>
      <c r="D436" s="123" t="s">
        <v>1180</v>
      </c>
      <c r="E436" s="124"/>
      <c r="F436" s="123"/>
      <c r="G436" s="49">
        <v>81.3928</v>
      </c>
      <c r="H436" s="27"/>
    </row>
    <row r="437" spans="1:8" ht="12" customHeight="1">
      <c r="A437" s="4"/>
      <c r="B437" s="4"/>
      <c r="C437" s="4"/>
      <c r="D437" s="123" t="s">
        <v>1181</v>
      </c>
      <c r="E437" s="124"/>
      <c r="F437" s="123"/>
      <c r="G437" s="49">
        <v>20.5831</v>
      </c>
      <c r="H437" s="27"/>
    </row>
    <row r="438" spans="1:8" ht="12.75">
      <c r="A438" s="4" t="s">
        <v>220</v>
      </c>
      <c r="B438" s="4"/>
      <c r="C438" s="4" t="s">
        <v>506</v>
      </c>
      <c r="D438" s="107" t="s">
        <v>823</v>
      </c>
      <c r="E438" s="108"/>
      <c r="F438" s="4" t="s">
        <v>898</v>
      </c>
      <c r="G438" s="16">
        <v>27.7193</v>
      </c>
      <c r="H438" s="16">
        <v>0</v>
      </c>
    </row>
    <row r="439" spans="1:8" ht="12" customHeight="1">
      <c r="A439" s="4"/>
      <c r="B439" s="4"/>
      <c r="C439" s="4"/>
      <c r="D439" s="123" t="s">
        <v>1182</v>
      </c>
      <c r="E439" s="124"/>
      <c r="F439" s="123"/>
      <c r="G439" s="49">
        <v>27.7193</v>
      </c>
      <c r="H439" s="27"/>
    </row>
    <row r="440" spans="1:8" ht="12.75">
      <c r="A440" s="4" t="s">
        <v>221</v>
      </c>
      <c r="B440" s="4"/>
      <c r="C440" s="4" t="s">
        <v>508</v>
      </c>
      <c r="D440" s="107" t="s">
        <v>824</v>
      </c>
      <c r="E440" s="108"/>
      <c r="F440" s="4" t="s">
        <v>898</v>
      </c>
      <c r="G440" s="16">
        <v>0.6181</v>
      </c>
      <c r="H440" s="16">
        <v>0</v>
      </c>
    </row>
    <row r="441" spans="1:8" ht="12" customHeight="1">
      <c r="A441" s="4"/>
      <c r="B441" s="4"/>
      <c r="C441" s="4"/>
      <c r="D441" s="123" t="s">
        <v>1183</v>
      </c>
      <c r="E441" s="124"/>
      <c r="F441" s="123"/>
      <c r="G441" s="49">
        <v>0.6181</v>
      </c>
      <c r="H441" s="27"/>
    </row>
    <row r="442" spans="1:8" ht="12.75">
      <c r="A442" s="4" t="s">
        <v>222</v>
      </c>
      <c r="B442" s="4"/>
      <c r="C442" s="4" t="s">
        <v>510</v>
      </c>
      <c r="D442" s="107" t="s">
        <v>825</v>
      </c>
      <c r="E442" s="108"/>
      <c r="F442" s="4" t="s">
        <v>898</v>
      </c>
      <c r="G442" s="16">
        <v>0.0635</v>
      </c>
      <c r="H442" s="16">
        <v>0</v>
      </c>
    </row>
    <row r="443" spans="1:8" ht="12" customHeight="1">
      <c r="A443" s="4"/>
      <c r="B443" s="4"/>
      <c r="C443" s="4"/>
      <c r="D443" s="123" t="s">
        <v>1184</v>
      </c>
      <c r="E443" s="124"/>
      <c r="F443" s="123"/>
      <c r="G443" s="49">
        <v>0.0635</v>
      </c>
      <c r="H443" s="27"/>
    </row>
    <row r="444" spans="1:8" ht="12.75">
      <c r="A444" s="4" t="s">
        <v>223</v>
      </c>
      <c r="B444" s="4"/>
      <c r="C444" s="4" t="s">
        <v>512</v>
      </c>
      <c r="D444" s="107" t="s">
        <v>826</v>
      </c>
      <c r="E444" s="108"/>
      <c r="F444" s="4" t="s">
        <v>898</v>
      </c>
      <c r="G444" s="16">
        <v>1.0624</v>
      </c>
      <c r="H444" s="16">
        <v>0</v>
      </c>
    </row>
    <row r="445" spans="1:8" ht="12" customHeight="1">
      <c r="A445" s="4"/>
      <c r="B445" s="4"/>
      <c r="C445" s="4"/>
      <c r="D445" s="123" t="s">
        <v>1185</v>
      </c>
      <c r="E445" s="124"/>
      <c r="F445" s="123"/>
      <c r="G445" s="49">
        <v>1.0624</v>
      </c>
      <c r="H445" s="27"/>
    </row>
    <row r="446" spans="1:8" ht="12.75">
      <c r="A446" s="4" t="s">
        <v>224</v>
      </c>
      <c r="B446" s="4"/>
      <c r="C446" s="4" t="s">
        <v>514</v>
      </c>
      <c r="D446" s="107" t="s">
        <v>827</v>
      </c>
      <c r="E446" s="108"/>
      <c r="F446" s="4" t="s">
        <v>898</v>
      </c>
      <c r="G446" s="16">
        <v>0.2849</v>
      </c>
      <c r="H446" s="16">
        <v>0</v>
      </c>
    </row>
    <row r="447" spans="1:8" ht="12" customHeight="1">
      <c r="A447" s="4"/>
      <c r="B447" s="4"/>
      <c r="C447" s="4"/>
      <c r="D447" s="123" t="s">
        <v>1186</v>
      </c>
      <c r="E447" s="124"/>
      <c r="F447" s="123"/>
      <c r="G447" s="49">
        <v>0.2849</v>
      </c>
      <c r="H447" s="27"/>
    </row>
    <row r="448" spans="1:8" ht="12.75">
      <c r="A448" s="4" t="s">
        <v>225</v>
      </c>
      <c r="B448" s="4"/>
      <c r="C448" s="4" t="s">
        <v>516</v>
      </c>
      <c r="D448" s="107" t="s">
        <v>828</v>
      </c>
      <c r="E448" s="108"/>
      <c r="F448" s="4" t="s">
        <v>898</v>
      </c>
      <c r="G448" s="16">
        <v>0.4335</v>
      </c>
      <c r="H448" s="16">
        <v>0</v>
      </c>
    </row>
    <row r="449" spans="1:8" ht="12" customHeight="1">
      <c r="A449" s="4"/>
      <c r="B449" s="4"/>
      <c r="C449" s="4"/>
      <c r="D449" s="123" t="s">
        <v>1187</v>
      </c>
      <c r="E449" s="124"/>
      <c r="F449" s="123"/>
      <c r="G449" s="49">
        <v>0.4335</v>
      </c>
      <c r="H449" s="27"/>
    </row>
    <row r="450" spans="1:8" ht="12.75">
      <c r="A450" s="4" t="s">
        <v>226</v>
      </c>
      <c r="B450" s="4"/>
      <c r="C450" s="4" t="s">
        <v>518</v>
      </c>
      <c r="D450" s="107" t="s">
        <v>829</v>
      </c>
      <c r="E450" s="108"/>
      <c r="F450" s="4" t="s">
        <v>898</v>
      </c>
      <c r="G450" s="16">
        <v>4.5503</v>
      </c>
      <c r="H450" s="16">
        <v>0</v>
      </c>
    </row>
    <row r="451" spans="1:8" ht="12" customHeight="1">
      <c r="A451" s="4"/>
      <c r="B451" s="4"/>
      <c r="C451" s="4"/>
      <c r="D451" s="123" t="s">
        <v>1188</v>
      </c>
      <c r="E451" s="124"/>
      <c r="F451" s="123"/>
      <c r="G451" s="49">
        <v>4.5503</v>
      </c>
      <c r="H451" s="27"/>
    </row>
    <row r="452" spans="1:8" ht="12.75">
      <c r="A452" s="4" t="s">
        <v>227</v>
      </c>
      <c r="B452" s="4"/>
      <c r="C452" s="4" t="s">
        <v>520</v>
      </c>
      <c r="D452" s="107" t="s">
        <v>830</v>
      </c>
      <c r="E452" s="108"/>
      <c r="F452" s="4" t="s">
        <v>898</v>
      </c>
      <c r="G452" s="16">
        <v>2.5922</v>
      </c>
      <c r="H452" s="16">
        <v>0</v>
      </c>
    </row>
    <row r="453" spans="1:8" ht="12" customHeight="1">
      <c r="A453" s="4"/>
      <c r="B453" s="4"/>
      <c r="C453" s="4"/>
      <c r="D453" s="123" t="s">
        <v>1189</v>
      </c>
      <c r="E453" s="124"/>
      <c r="F453" s="123"/>
      <c r="G453" s="49">
        <v>2.5922</v>
      </c>
      <c r="H453" s="27"/>
    </row>
    <row r="454" spans="1:8" ht="12.75">
      <c r="A454" s="4" t="s">
        <v>228</v>
      </c>
      <c r="B454" s="4"/>
      <c r="C454" s="4" t="s">
        <v>522</v>
      </c>
      <c r="D454" s="107" t="s">
        <v>831</v>
      </c>
      <c r="E454" s="108"/>
      <c r="F454" s="4" t="s">
        <v>898</v>
      </c>
      <c r="G454" s="16">
        <v>0.8194</v>
      </c>
      <c r="H454" s="16">
        <v>0</v>
      </c>
    </row>
    <row r="455" spans="1:8" ht="12" customHeight="1">
      <c r="A455" s="4"/>
      <c r="B455" s="4"/>
      <c r="C455" s="4"/>
      <c r="D455" s="123" t="s">
        <v>1190</v>
      </c>
      <c r="E455" s="124"/>
      <c r="F455" s="123"/>
      <c r="G455" s="49">
        <v>0.8194</v>
      </c>
      <c r="H455" s="27"/>
    </row>
    <row r="456" spans="1:8" ht="12.75">
      <c r="A456" s="4" t="s">
        <v>229</v>
      </c>
      <c r="B456" s="4"/>
      <c r="C456" s="4" t="s">
        <v>524</v>
      </c>
      <c r="D456" s="107" t="s">
        <v>832</v>
      </c>
      <c r="E456" s="108"/>
      <c r="F456" s="4" t="s">
        <v>898</v>
      </c>
      <c r="G456" s="16">
        <v>0.4536</v>
      </c>
      <c r="H456" s="16">
        <v>0</v>
      </c>
    </row>
    <row r="457" spans="1:8" ht="12" customHeight="1">
      <c r="A457" s="4"/>
      <c r="B457" s="4"/>
      <c r="C457" s="4"/>
      <c r="D457" s="123" t="s">
        <v>1191</v>
      </c>
      <c r="E457" s="124"/>
      <c r="F457" s="123"/>
      <c r="G457" s="49">
        <v>0.4536</v>
      </c>
      <c r="H457" s="27"/>
    </row>
    <row r="458" spans="1:8" ht="12.75">
      <c r="A458" s="4" t="s">
        <v>230</v>
      </c>
      <c r="B458" s="4"/>
      <c r="C458" s="4" t="s">
        <v>526</v>
      </c>
      <c r="D458" s="107" t="s">
        <v>833</v>
      </c>
      <c r="E458" s="108"/>
      <c r="F458" s="4" t="s">
        <v>898</v>
      </c>
      <c r="G458" s="16">
        <v>2.5991</v>
      </c>
      <c r="H458" s="16">
        <v>0</v>
      </c>
    </row>
    <row r="459" spans="1:8" ht="12" customHeight="1">
      <c r="A459" s="4"/>
      <c r="B459" s="4"/>
      <c r="C459" s="4"/>
      <c r="D459" s="123" t="s">
        <v>1192</v>
      </c>
      <c r="E459" s="124"/>
      <c r="F459" s="123"/>
      <c r="G459" s="49">
        <v>2.5991</v>
      </c>
      <c r="H459" s="27"/>
    </row>
    <row r="460" spans="1:8" ht="12.75">
      <c r="A460" s="4" t="s">
        <v>231</v>
      </c>
      <c r="B460" s="4"/>
      <c r="C460" s="4" t="s">
        <v>528</v>
      </c>
      <c r="D460" s="107" t="s">
        <v>834</v>
      </c>
      <c r="E460" s="108"/>
      <c r="F460" s="4" t="s">
        <v>898</v>
      </c>
      <c r="G460" s="16">
        <v>0.4945</v>
      </c>
      <c r="H460" s="16">
        <v>0</v>
      </c>
    </row>
    <row r="461" spans="1:8" ht="12" customHeight="1">
      <c r="A461" s="4"/>
      <c r="B461" s="4"/>
      <c r="C461" s="4"/>
      <c r="D461" s="123" t="s">
        <v>1193</v>
      </c>
      <c r="E461" s="124"/>
      <c r="F461" s="123"/>
      <c r="G461" s="49">
        <v>0.4945</v>
      </c>
      <c r="H461" s="27"/>
    </row>
    <row r="462" spans="1:8" ht="12.75">
      <c r="A462" s="4" t="s">
        <v>232</v>
      </c>
      <c r="B462" s="4"/>
      <c r="C462" s="4" t="s">
        <v>530</v>
      </c>
      <c r="D462" s="107" t="s">
        <v>836</v>
      </c>
      <c r="E462" s="108"/>
      <c r="F462" s="4" t="s">
        <v>896</v>
      </c>
      <c r="G462" s="16">
        <v>1</v>
      </c>
      <c r="H462" s="16">
        <v>0</v>
      </c>
    </row>
    <row r="463" spans="1:8" ht="12.75">
      <c r="A463" s="4" t="s">
        <v>233</v>
      </c>
      <c r="B463" s="4"/>
      <c r="C463" s="4" t="s">
        <v>531</v>
      </c>
      <c r="D463" s="107" t="s">
        <v>837</v>
      </c>
      <c r="E463" s="108"/>
      <c r="F463" s="4" t="s">
        <v>896</v>
      </c>
      <c r="G463" s="16">
        <v>15</v>
      </c>
      <c r="H463" s="16">
        <v>0</v>
      </c>
    </row>
    <row r="464" spans="1:8" ht="12" customHeight="1">
      <c r="A464" s="4"/>
      <c r="B464" s="4"/>
      <c r="C464" s="4"/>
      <c r="D464" s="123" t="s">
        <v>1194</v>
      </c>
      <c r="E464" s="124"/>
      <c r="F464" s="123"/>
      <c r="G464" s="49">
        <v>15</v>
      </c>
      <c r="H464" s="27"/>
    </row>
    <row r="465" spans="1:8" ht="12.75">
      <c r="A465" s="4" t="s">
        <v>234</v>
      </c>
      <c r="B465" s="4"/>
      <c r="C465" s="4" t="s">
        <v>531</v>
      </c>
      <c r="D465" s="107" t="s">
        <v>838</v>
      </c>
      <c r="E465" s="108"/>
      <c r="F465" s="4" t="s">
        <v>896</v>
      </c>
      <c r="G465" s="16">
        <v>6</v>
      </c>
      <c r="H465" s="16">
        <v>0</v>
      </c>
    </row>
    <row r="466" spans="1:8" ht="12" customHeight="1">
      <c r="A466" s="4"/>
      <c r="B466" s="4"/>
      <c r="C466" s="4"/>
      <c r="D466" s="123" t="s">
        <v>1195</v>
      </c>
      <c r="E466" s="124"/>
      <c r="F466" s="123"/>
      <c r="G466" s="49">
        <v>6</v>
      </c>
      <c r="H466" s="27"/>
    </row>
    <row r="467" spans="1:8" ht="12.75">
      <c r="A467" s="4" t="s">
        <v>235</v>
      </c>
      <c r="B467" s="4"/>
      <c r="C467" s="4" t="s">
        <v>531</v>
      </c>
      <c r="D467" s="107" t="s">
        <v>839</v>
      </c>
      <c r="E467" s="108"/>
      <c r="F467" s="4" t="s">
        <v>896</v>
      </c>
      <c r="G467" s="16">
        <v>2</v>
      </c>
      <c r="H467" s="16">
        <v>0</v>
      </c>
    </row>
    <row r="468" spans="1:8" ht="12" customHeight="1">
      <c r="A468" s="4"/>
      <c r="B468" s="4"/>
      <c r="C468" s="4"/>
      <c r="D468" s="123" t="s">
        <v>1019</v>
      </c>
      <c r="E468" s="124"/>
      <c r="F468" s="123"/>
      <c r="G468" s="49">
        <v>2</v>
      </c>
      <c r="H468" s="27"/>
    </row>
    <row r="469" spans="1:8" ht="12.75">
      <c r="A469" s="4" t="s">
        <v>236</v>
      </c>
      <c r="B469" s="4"/>
      <c r="C469" s="4" t="s">
        <v>532</v>
      </c>
      <c r="D469" s="107" t="s">
        <v>840</v>
      </c>
      <c r="E469" s="108"/>
      <c r="F469" s="4" t="s">
        <v>901</v>
      </c>
      <c r="G469" s="16">
        <v>1</v>
      </c>
      <c r="H469" s="16">
        <v>0</v>
      </c>
    </row>
    <row r="470" spans="1:8" ht="12" customHeight="1">
      <c r="A470" s="4"/>
      <c r="B470" s="4"/>
      <c r="C470" s="4"/>
      <c r="D470" s="123" t="s">
        <v>1020</v>
      </c>
      <c r="E470" s="124"/>
      <c r="F470" s="123"/>
      <c r="G470" s="49">
        <v>1</v>
      </c>
      <c r="H470" s="27"/>
    </row>
    <row r="471" spans="1:8" ht="12.75">
      <c r="A471" s="6" t="s">
        <v>237</v>
      </c>
      <c r="B471" s="6"/>
      <c r="C471" s="6" t="s">
        <v>533</v>
      </c>
      <c r="D471" s="111" t="s">
        <v>841</v>
      </c>
      <c r="E471" s="112"/>
      <c r="F471" s="6" t="s">
        <v>896</v>
      </c>
      <c r="G471" s="17">
        <v>3</v>
      </c>
      <c r="H471" s="17">
        <v>0</v>
      </c>
    </row>
    <row r="472" spans="1:8" ht="12" customHeight="1">
      <c r="A472" s="6"/>
      <c r="B472" s="6"/>
      <c r="C472" s="6"/>
      <c r="D472" s="125" t="s">
        <v>1083</v>
      </c>
      <c r="E472" s="126"/>
      <c r="F472" s="125"/>
      <c r="G472" s="50">
        <v>3</v>
      </c>
      <c r="H472" s="29"/>
    </row>
    <row r="473" spans="1:8" ht="12.75">
      <c r="A473" s="6" t="s">
        <v>238</v>
      </c>
      <c r="B473" s="6"/>
      <c r="C473" s="6" t="s">
        <v>534</v>
      </c>
      <c r="D473" s="111" t="s">
        <v>842</v>
      </c>
      <c r="E473" s="112"/>
      <c r="F473" s="6" t="s">
        <v>896</v>
      </c>
      <c r="G473" s="17">
        <v>3</v>
      </c>
      <c r="H473" s="17">
        <v>0</v>
      </c>
    </row>
    <row r="474" spans="1:8" ht="12" customHeight="1">
      <c r="A474" s="6"/>
      <c r="B474" s="6"/>
      <c r="C474" s="6"/>
      <c r="D474" s="125" t="s">
        <v>1083</v>
      </c>
      <c r="E474" s="126"/>
      <c r="F474" s="125"/>
      <c r="G474" s="50">
        <v>3</v>
      </c>
      <c r="H474" s="29"/>
    </row>
    <row r="475" spans="1:8" ht="12.75">
      <c r="A475" s="4" t="s">
        <v>239</v>
      </c>
      <c r="B475" s="4"/>
      <c r="C475" s="4" t="s">
        <v>530</v>
      </c>
      <c r="D475" s="107" t="s">
        <v>843</v>
      </c>
      <c r="E475" s="108"/>
      <c r="F475" s="4" t="s">
        <v>896</v>
      </c>
      <c r="G475" s="16">
        <v>1</v>
      </c>
      <c r="H475" s="16">
        <v>0</v>
      </c>
    </row>
    <row r="476" spans="1:8" ht="12" customHeight="1">
      <c r="A476" s="4"/>
      <c r="B476" s="4"/>
      <c r="C476" s="4"/>
      <c r="D476" s="123" t="s">
        <v>1020</v>
      </c>
      <c r="E476" s="124"/>
      <c r="F476" s="123"/>
      <c r="G476" s="49">
        <v>1</v>
      </c>
      <c r="H476" s="27"/>
    </row>
    <row r="477" spans="1:8" ht="12.75">
      <c r="A477" s="4" t="s">
        <v>240</v>
      </c>
      <c r="B477" s="4"/>
      <c r="C477" s="4" t="s">
        <v>535</v>
      </c>
      <c r="D477" s="107" t="s">
        <v>844</v>
      </c>
      <c r="E477" s="108"/>
      <c r="F477" s="4" t="s">
        <v>896</v>
      </c>
      <c r="G477" s="16">
        <v>5</v>
      </c>
      <c r="H477" s="16">
        <v>0</v>
      </c>
    </row>
    <row r="478" spans="1:8" ht="12" customHeight="1">
      <c r="A478" s="4"/>
      <c r="B478" s="4"/>
      <c r="C478" s="4"/>
      <c r="D478" s="123" t="s">
        <v>1022</v>
      </c>
      <c r="E478" s="124"/>
      <c r="F478" s="123"/>
      <c r="G478" s="49">
        <v>5</v>
      </c>
      <c r="H478" s="27"/>
    </row>
    <row r="479" spans="1:8" ht="12.75">
      <c r="A479" s="4" t="s">
        <v>241</v>
      </c>
      <c r="B479" s="4"/>
      <c r="C479" s="4" t="s">
        <v>536</v>
      </c>
      <c r="D479" s="107" t="s">
        <v>845</v>
      </c>
      <c r="E479" s="108"/>
      <c r="F479" s="4" t="s">
        <v>896</v>
      </c>
      <c r="G479" s="16">
        <v>11</v>
      </c>
      <c r="H479" s="16">
        <v>0</v>
      </c>
    </row>
    <row r="480" spans="1:8" ht="12" customHeight="1">
      <c r="A480" s="4"/>
      <c r="B480" s="4"/>
      <c r="C480" s="4"/>
      <c r="D480" s="123" t="s">
        <v>1102</v>
      </c>
      <c r="E480" s="124"/>
      <c r="F480" s="123"/>
      <c r="G480" s="49">
        <v>11</v>
      </c>
      <c r="H480" s="27"/>
    </row>
    <row r="481" spans="1:8" ht="12.75">
      <c r="A481" s="4" t="s">
        <v>242</v>
      </c>
      <c r="B481" s="4"/>
      <c r="C481" s="4" t="s">
        <v>537</v>
      </c>
      <c r="D481" s="107" t="s">
        <v>846</v>
      </c>
      <c r="E481" s="108"/>
      <c r="F481" s="4" t="s">
        <v>896</v>
      </c>
      <c r="G481" s="16">
        <v>5</v>
      </c>
      <c r="H481" s="16">
        <v>0</v>
      </c>
    </row>
    <row r="482" spans="1:8" ht="12" customHeight="1">
      <c r="A482" s="4"/>
      <c r="B482" s="4"/>
      <c r="C482" s="4"/>
      <c r="D482" s="123" t="s">
        <v>1022</v>
      </c>
      <c r="E482" s="124"/>
      <c r="F482" s="123"/>
      <c r="G482" s="49">
        <v>5</v>
      </c>
      <c r="H482" s="27"/>
    </row>
    <row r="483" spans="1:8" ht="12.75">
      <c r="A483" s="4" t="s">
        <v>243</v>
      </c>
      <c r="B483" s="4"/>
      <c r="C483" s="4" t="s">
        <v>538</v>
      </c>
      <c r="D483" s="107" t="s">
        <v>847</v>
      </c>
      <c r="E483" s="108"/>
      <c r="F483" s="4" t="s">
        <v>896</v>
      </c>
      <c r="G483" s="16">
        <v>4</v>
      </c>
      <c r="H483" s="16">
        <v>0</v>
      </c>
    </row>
    <row r="484" spans="1:8" ht="12" customHeight="1">
      <c r="A484" s="4"/>
      <c r="B484" s="4"/>
      <c r="C484" s="4"/>
      <c r="D484" s="123" t="s">
        <v>1105</v>
      </c>
      <c r="E484" s="124"/>
      <c r="F484" s="123"/>
      <c r="G484" s="49">
        <v>4</v>
      </c>
      <c r="H484" s="27"/>
    </row>
    <row r="485" spans="1:8" ht="12.75">
      <c r="A485" s="4" t="s">
        <v>244</v>
      </c>
      <c r="B485" s="4"/>
      <c r="C485" s="4" t="s">
        <v>539</v>
      </c>
      <c r="D485" s="107" t="s">
        <v>848</v>
      </c>
      <c r="E485" s="108"/>
      <c r="F485" s="4" t="s">
        <v>896</v>
      </c>
      <c r="G485" s="16">
        <v>3</v>
      </c>
      <c r="H485" s="16">
        <v>0</v>
      </c>
    </row>
    <row r="486" spans="1:8" ht="12" customHeight="1">
      <c r="A486" s="4"/>
      <c r="B486" s="4"/>
      <c r="C486" s="4"/>
      <c r="D486" s="123" t="s">
        <v>1083</v>
      </c>
      <c r="E486" s="124"/>
      <c r="F486" s="123"/>
      <c r="G486" s="49">
        <v>3</v>
      </c>
      <c r="H486" s="27"/>
    </row>
    <row r="487" spans="1:8" ht="12.75">
      <c r="A487" s="4" t="s">
        <v>245</v>
      </c>
      <c r="B487" s="4"/>
      <c r="C487" s="4" t="s">
        <v>540</v>
      </c>
      <c r="D487" s="107" t="s">
        <v>849</v>
      </c>
      <c r="E487" s="108"/>
      <c r="F487" s="4" t="s">
        <v>896</v>
      </c>
      <c r="G487" s="16">
        <v>17</v>
      </c>
      <c r="H487" s="16">
        <v>0</v>
      </c>
    </row>
    <row r="488" spans="1:8" ht="12" customHeight="1">
      <c r="A488" s="4"/>
      <c r="B488" s="4"/>
      <c r="C488" s="4"/>
      <c r="D488" s="123" t="s">
        <v>1196</v>
      </c>
      <c r="E488" s="124"/>
      <c r="F488" s="123"/>
      <c r="G488" s="49">
        <v>17</v>
      </c>
      <c r="H488" s="27"/>
    </row>
    <row r="489" spans="1:8" ht="12.75">
      <c r="A489" s="4" t="s">
        <v>246</v>
      </c>
      <c r="B489" s="4"/>
      <c r="C489" s="4" t="s">
        <v>541</v>
      </c>
      <c r="D489" s="107" t="s">
        <v>850</v>
      </c>
      <c r="E489" s="108"/>
      <c r="F489" s="4" t="s">
        <v>896</v>
      </c>
      <c r="G489" s="16">
        <v>8</v>
      </c>
      <c r="H489" s="16">
        <v>0</v>
      </c>
    </row>
    <row r="490" spans="1:8" ht="12" customHeight="1">
      <c r="A490" s="4"/>
      <c r="B490" s="4"/>
      <c r="C490" s="4"/>
      <c r="D490" s="123" t="s">
        <v>1107</v>
      </c>
      <c r="E490" s="124"/>
      <c r="F490" s="123"/>
      <c r="G490" s="49">
        <v>8</v>
      </c>
      <c r="H490" s="27"/>
    </row>
    <row r="491" spans="1:8" ht="12.75">
      <c r="A491" s="4" t="s">
        <v>247</v>
      </c>
      <c r="B491" s="4"/>
      <c r="C491" s="4" t="s">
        <v>542</v>
      </c>
      <c r="D491" s="107" t="s">
        <v>851</v>
      </c>
      <c r="E491" s="108"/>
      <c r="F491" s="4" t="s">
        <v>896</v>
      </c>
      <c r="G491" s="16">
        <v>1</v>
      </c>
      <c r="H491" s="16">
        <v>0</v>
      </c>
    </row>
    <row r="492" spans="1:8" ht="12" customHeight="1">
      <c r="A492" s="4"/>
      <c r="B492" s="4"/>
      <c r="C492" s="4"/>
      <c r="D492" s="123" t="s">
        <v>1020</v>
      </c>
      <c r="E492" s="124"/>
      <c r="F492" s="123"/>
      <c r="G492" s="49">
        <v>1</v>
      </c>
      <c r="H492" s="27"/>
    </row>
    <row r="493" spans="1:8" ht="12.75">
      <c r="A493" s="4" t="s">
        <v>248</v>
      </c>
      <c r="B493" s="4"/>
      <c r="C493" s="4" t="s">
        <v>543</v>
      </c>
      <c r="D493" s="107" t="s">
        <v>852</v>
      </c>
      <c r="E493" s="108"/>
      <c r="F493" s="4" t="s">
        <v>899</v>
      </c>
      <c r="G493" s="16">
        <v>230</v>
      </c>
      <c r="H493" s="16">
        <v>0</v>
      </c>
    </row>
    <row r="494" spans="1:8" ht="12" customHeight="1">
      <c r="A494" s="4"/>
      <c r="B494" s="4"/>
      <c r="C494" s="4"/>
      <c r="D494" s="123" t="s">
        <v>1197</v>
      </c>
      <c r="E494" s="124"/>
      <c r="F494" s="123"/>
      <c r="G494" s="49">
        <v>230</v>
      </c>
      <c r="H494" s="27"/>
    </row>
    <row r="495" spans="1:8" ht="12.75">
      <c r="A495" s="4" t="s">
        <v>249</v>
      </c>
      <c r="B495" s="4"/>
      <c r="C495" s="4" t="s">
        <v>544</v>
      </c>
      <c r="D495" s="107" t="s">
        <v>853</v>
      </c>
      <c r="E495" s="108"/>
      <c r="F495" s="4" t="s">
        <v>899</v>
      </c>
      <c r="G495" s="16">
        <v>120</v>
      </c>
      <c r="H495" s="16">
        <v>0</v>
      </c>
    </row>
    <row r="496" spans="1:8" ht="12" customHeight="1">
      <c r="A496" s="4"/>
      <c r="B496" s="4"/>
      <c r="C496" s="4"/>
      <c r="D496" s="123" t="s">
        <v>1198</v>
      </c>
      <c r="E496" s="124"/>
      <c r="F496" s="123"/>
      <c r="G496" s="49">
        <v>120</v>
      </c>
      <c r="H496" s="27"/>
    </row>
    <row r="497" spans="1:8" ht="12.75">
      <c r="A497" s="4" t="s">
        <v>250</v>
      </c>
      <c r="B497" s="4"/>
      <c r="C497" s="4" t="s">
        <v>545</v>
      </c>
      <c r="D497" s="107" t="s">
        <v>854</v>
      </c>
      <c r="E497" s="108"/>
      <c r="F497" s="4" t="s">
        <v>899</v>
      </c>
      <c r="G497" s="16">
        <v>120</v>
      </c>
      <c r="H497" s="16">
        <v>0</v>
      </c>
    </row>
    <row r="498" spans="1:8" ht="12" customHeight="1">
      <c r="A498" s="4"/>
      <c r="B498" s="4"/>
      <c r="C498" s="4"/>
      <c r="D498" s="123" t="s">
        <v>1198</v>
      </c>
      <c r="E498" s="124"/>
      <c r="F498" s="123"/>
      <c r="G498" s="49">
        <v>120</v>
      </c>
      <c r="H498" s="27"/>
    </row>
    <row r="499" spans="1:8" ht="12.75">
      <c r="A499" s="4" t="s">
        <v>251</v>
      </c>
      <c r="B499" s="4"/>
      <c r="C499" s="4" t="s">
        <v>546</v>
      </c>
      <c r="D499" s="107" t="s">
        <v>855</v>
      </c>
      <c r="E499" s="108"/>
      <c r="F499" s="4" t="s">
        <v>899</v>
      </c>
      <c r="G499" s="16">
        <v>20</v>
      </c>
      <c r="H499" s="16">
        <v>0</v>
      </c>
    </row>
    <row r="500" spans="1:8" ht="12" customHeight="1">
      <c r="A500" s="4"/>
      <c r="B500" s="4"/>
      <c r="C500" s="4"/>
      <c r="D500" s="123" t="s">
        <v>1053</v>
      </c>
      <c r="E500" s="124"/>
      <c r="F500" s="123"/>
      <c r="G500" s="49">
        <v>20</v>
      </c>
      <c r="H500" s="27"/>
    </row>
    <row r="501" spans="1:8" ht="12.75">
      <c r="A501" s="4" t="s">
        <v>252</v>
      </c>
      <c r="B501" s="4"/>
      <c r="C501" s="4" t="s">
        <v>547</v>
      </c>
      <c r="D501" s="107" t="s">
        <v>856</v>
      </c>
      <c r="E501" s="108"/>
      <c r="F501" s="4" t="s">
        <v>899</v>
      </c>
      <c r="G501" s="16">
        <v>10</v>
      </c>
      <c r="H501" s="16">
        <v>0</v>
      </c>
    </row>
    <row r="502" spans="1:8" ht="12" customHeight="1">
      <c r="A502" s="4"/>
      <c r="B502" s="4"/>
      <c r="C502" s="4"/>
      <c r="D502" s="123" t="s">
        <v>1199</v>
      </c>
      <c r="E502" s="124"/>
      <c r="F502" s="123"/>
      <c r="G502" s="49">
        <v>10</v>
      </c>
      <c r="H502" s="27"/>
    </row>
    <row r="503" spans="1:8" ht="12.75">
      <c r="A503" s="4" t="s">
        <v>253</v>
      </c>
      <c r="B503" s="4"/>
      <c r="C503" s="4" t="s">
        <v>548</v>
      </c>
      <c r="D503" s="107" t="s">
        <v>857</v>
      </c>
      <c r="E503" s="108"/>
      <c r="F503" s="4" t="s">
        <v>899</v>
      </c>
      <c r="G503" s="16">
        <v>20</v>
      </c>
      <c r="H503" s="16">
        <v>0</v>
      </c>
    </row>
    <row r="504" spans="1:8" ht="12" customHeight="1">
      <c r="A504" s="4"/>
      <c r="B504" s="4"/>
      <c r="C504" s="4"/>
      <c r="D504" s="123" t="s">
        <v>1053</v>
      </c>
      <c r="E504" s="124"/>
      <c r="F504" s="123"/>
      <c r="G504" s="49">
        <v>20</v>
      </c>
      <c r="H504" s="27"/>
    </row>
    <row r="505" spans="1:8" ht="12.75">
      <c r="A505" s="4" t="s">
        <v>254</v>
      </c>
      <c r="B505" s="4"/>
      <c r="C505" s="4" t="s">
        <v>549</v>
      </c>
      <c r="D505" s="107" t="s">
        <v>858</v>
      </c>
      <c r="E505" s="108"/>
      <c r="F505" s="4" t="s">
        <v>899</v>
      </c>
      <c r="G505" s="16">
        <v>45</v>
      </c>
      <c r="H505" s="16">
        <v>0</v>
      </c>
    </row>
    <row r="506" spans="1:8" ht="12" customHeight="1">
      <c r="A506" s="4"/>
      <c r="B506" s="4"/>
      <c r="C506" s="4"/>
      <c r="D506" s="123" t="s">
        <v>1200</v>
      </c>
      <c r="E506" s="124"/>
      <c r="F506" s="123"/>
      <c r="G506" s="49">
        <v>45</v>
      </c>
      <c r="H506" s="27"/>
    </row>
    <row r="507" spans="1:8" ht="12.75">
      <c r="A507" s="4" t="s">
        <v>255</v>
      </c>
      <c r="B507" s="4"/>
      <c r="C507" s="4" t="s">
        <v>550</v>
      </c>
      <c r="D507" s="107" t="s">
        <v>859</v>
      </c>
      <c r="E507" s="108"/>
      <c r="F507" s="4" t="s">
        <v>896</v>
      </c>
      <c r="G507" s="16">
        <v>16</v>
      </c>
      <c r="H507" s="16">
        <v>0</v>
      </c>
    </row>
    <row r="508" spans="1:8" ht="12" customHeight="1">
      <c r="A508" s="4"/>
      <c r="B508" s="4"/>
      <c r="C508" s="4"/>
      <c r="D508" s="123" t="s">
        <v>1201</v>
      </c>
      <c r="E508" s="124"/>
      <c r="F508" s="123"/>
      <c r="G508" s="49">
        <v>16</v>
      </c>
      <c r="H508" s="27"/>
    </row>
    <row r="509" spans="1:8" ht="12.75">
      <c r="A509" s="4" t="s">
        <v>256</v>
      </c>
      <c r="B509" s="4"/>
      <c r="C509" s="4" t="s">
        <v>551</v>
      </c>
      <c r="D509" s="107" t="s">
        <v>860</v>
      </c>
      <c r="E509" s="108"/>
      <c r="F509" s="4" t="s">
        <v>899</v>
      </c>
      <c r="G509" s="16">
        <v>60</v>
      </c>
      <c r="H509" s="16">
        <v>0</v>
      </c>
    </row>
    <row r="510" spans="1:8" ht="12" customHeight="1">
      <c r="A510" s="4"/>
      <c r="B510" s="4"/>
      <c r="C510" s="4"/>
      <c r="D510" s="123" t="s">
        <v>1202</v>
      </c>
      <c r="E510" s="124"/>
      <c r="F510" s="123"/>
      <c r="G510" s="49">
        <v>60</v>
      </c>
      <c r="H510" s="27"/>
    </row>
    <row r="511" spans="1:8" ht="12.75">
      <c r="A511" s="4" t="s">
        <v>257</v>
      </c>
      <c r="B511" s="4"/>
      <c r="C511" s="4" t="s">
        <v>552</v>
      </c>
      <c r="D511" s="107" t="s">
        <v>861</v>
      </c>
      <c r="E511" s="108"/>
      <c r="F511" s="4" t="s">
        <v>896</v>
      </c>
      <c r="G511" s="16">
        <v>1</v>
      </c>
      <c r="H511" s="16">
        <v>0</v>
      </c>
    </row>
    <row r="512" spans="1:8" ht="12" customHeight="1">
      <c r="A512" s="4"/>
      <c r="B512" s="4"/>
      <c r="C512" s="4"/>
      <c r="D512" s="123" t="s">
        <v>1020</v>
      </c>
      <c r="E512" s="124"/>
      <c r="F512" s="123"/>
      <c r="G512" s="49">
        <v>1</v>
      </c>
      <c r="H512" s="27"/>
    </row>
    <row r="513" spans="1:8" ht="12.75">
      <c r="A513" s="6" t="s">
        <v>258</v>
      </c>
      <c r="B513" s="6"/>
      <c r="C513" s="6" t="s">
        <v>553</v>
      </c>
      <c r="D513" s="111" t="s">
        <v>1287</v>
      </c>
      <c r="E513" s="112"/>
      <c r="F513" s="6" t="s">
        <v>896</v>
      </c>
      <c r="G513" s="17">
        <v>75</v>
      </c>
      <c r="H513" s="17">
        <v>0</v>
      </c>
    </row>
    <row r="514" spans="1:8" ht="12" customHeight="1">
      <c r="A514" s="6"/>
      <c r="B514" s="6"/>
      <c r="C514" s="6"/>
      <c r="D514" s="125" t="s">
        <v>1203</v>
      </c>
      <c r="E514" s="126"/>
      <c r="F514" s="125"/>
      <c r="G514" s="50">
        <v>75</v>
      </c>
      <c r="H514" s="29"/>
    </row>
    <row r="515" spans="1:8" ht="12.75">
      <c r="A515" s="6" t="s">
        <v>259</v>
      </c>
      <c r="B515" s="6"/>
      <c r="C515" s="6" t="s">
        <v>554</v>
      </c>
      <c r="D515" s="111" t="s">
        <v>862</v>
      </c>
      <c r="E515" s="112"/>
      <c r="F515" s="6" t="s">
        <v>899</v>
      </c>
      <c r="G515" s="17">
        <v>20</v>
      </c>
      <c r="H515" s="17">
        <v>0</v>
      </c>
    </row>
    <row r="516" spans="1:8" ht="12" customHeight="1">
      <c r="A516" s="6"/>
      <c r="B516" s="6"/>
      <c r="C516" s="6"/>
      <c r="D516" s="125" t="s">
        <v>1053</v>
      </c>
      <c r="E516" s="126"/>
      <c r="F516" s="125"/>
      <c r="G516" s="50">
        <v>20</v>
      </c>
      <c r="H516" s="29"/>
    </row>
    <row r="517" spans="1:8" ht="12.75">
      <c r="A517" s="4" t="s">
        <v>260</v>
      </c>
      <c r="B517" s="4"/>
      <c r="C517" s="4" t="s">
        <v>556</v>
      </c>
      <c r="D517" s="107" t="s">
        <v>864</v>
      </c>
      <c r="E517" s="108"/>
      <c r="F517" s="4" t="s">
        <v>896</v>
      </c>
      <c r="G517" s="16">
        <v>1</v>
      </c>
      <c r="H517" s="16">
        <v>0</v>
      </c>
    </row>
    <row r="518" spans="1:8" ht="12" customHeight="1">
      <c r="A518" s="4"/>
      <c r="B518" s="4"/>
      <c r="C518" s="4"/>
      <c r="D518" s="123" t="s">
        <v>1020</v>
      </c>
      <c r="E518" s="124"/>
      <c r="F518" s="123"/>
      <c r="G518" s="49">
        <v>1</v>
      </c>
      <c r="H518" s="27"/>
    </row>
    <row r="519" spans="1:8" ht="12.75">
      <c r="A519" s="4" t="s">
        <v>261</v>
      </c>
      <c r="B519" s="4"/>
      <c r="C519" s="4" t="s">
        <v>557</v>
      </c>
      <c r="D519" s="107" t="s">
        <v>865</v>
      </c>
      <c r="E519" s="108"/>
      <c r="F519" s="4" t="s">
        <v>899</v>
      </c>
      <c r="G519" s="16">
        <v>10</v>
      </c>
      <c r="H519" s="16">
        <v>0</v>
      </c>
    </row>
    <row r="520" spans="1:8" ht="12" customHeight="1">
      <c r="A520" s="4"/>
      <c r="B520" s="4"/>
      <c r="C520" s="4"/>
      <c r="D520" s="123" t="s">
        <v>1199</v>
      </c>
      <c r="E520" s="124"/>
      <c r="F520" s="123"/>
      <c r="G520" s="49">
        <v>10</v>
      </c>
      <c r="H520" s="27"/>
    </row>
    <row r="521" spans="1:8" ht="12.75">
      <c r="A521" s="4" t="s">
        <v>262</v>
      </c>
      <c r="B521" s="4"/>
      <c r="C521" s="4" t="s">
        <v>559</v>
      </c>
      <c r="D521" s="107" t="s">
        <v>867</v>
      </c>
      <c r="E521" s="108"/>
      <c r="F521" s="4" t="s">
        <v>899</v>
      </c>
      <c r="G521" s="16">
        <v>9</v>
      </c>
      <c r="H521" s="16">
        <v>0</v>
      </c>
    </row>
    <row r="522" spans="1:8" ht="12" customHeight="1">
      <c r="A522" s="4"/>
      <c r="B522" s="4"/>
      <c r="C522" s="4"/>
      <c r="D522" s="123" t="s">
        <v>1204</v>
      </c>
      <c r="E522" s="124"/>
      <c r="F522" s="123"/>
      <c r="G522" s="49">
        <v>9</v>
      </c>
      <c r="H522" s="27"/>
    </row>
    <row r="523" spans="1:8" ht="12.75">
      <c r="A523" s="4" t="s">
        <v>263</v>
      </c>
      <c r="B523" s="4"/>
      <c r="C523" s="4" t="s">
        <v>561</v>
      </c>
      <c r="D523" s="107" t="s">
        <v>869</v>
      </c>
      <c r="E523" s="108"/>
      <c r="F523" s="4" t="s">
        <v>898</v>
      </c>
      <c r="G523" s="16">
        <v>43.4483</v>
      </c>
      <c r="H523" s="16">
        <v>0</v>
      </c>
    </row>
    <row r="524" spans="1:8" ht="12" customHeight="1">
      <c r="A524" s="4"/>
      <c r="B524" s="4"/>
      <c r="C524" s="4"/>
      <c r="D524" s="123" t="s">
        <v>1205</v>
      </c>
      <c r="E524" s="124"/>
      <c r="F524" s="123"/>
      <c r="G524" s="49">
        <v>43.4483</v>
      </c>
      <c r="H524" s="27"/>
    </row>
    <row r="525" spans="1:8" ht="12.75">
      <c r="A525" s="4" t="s">
        <v>264</v>
      </c>
      <c r="B525" s="4"/>
      <c r="C525" s="4" t="s">
        <v>562</v>
      </c>
      <c r="D525" s="107" t="s">
        <v>870</v>
      </c>
      <c r="E525" s="108"/>
      <c r="F525" s="4" t="s">
        <v>898</v>
      </c>
      <c r="G525" s="16">
        <v>5.9122</v>
      </c>
      <c r="H525" s="16">
        <v>0</v>
      </c>
    </row>
    <row r="526" spans="1:8" ht="12" customHeight="1">
      <c r="A526" s="4"/>
      <c r="B526" s="4"/>
      <c r="C526" s="4"/>
      <c r="D526" s="123" t="s">
        <v>1206</v>
      </c>
      <c r="E526" s="124"/>
      <c r="F526" s="123"/>
      <c r="G526" s="49">
        <v>4.3728</v>
      </c>
      <c r="H526" s="27"/>
    </row>
    <row r="527" spans="1:8" ht="12" customHeight="1">
      <c r="A527" s="4"/>
      <c r="B527" s="4"/>
      <c r="C527" s="4"/>
      <c r="D527" s="123" t="s">
        <v>1207</v>
      </c>
      <c r="E527" s="124"/>
      <c r="F527" s="123"/>
      <c r="G527" s="49">
        <v>1.5394</v>
      </c>
      <c r="H527" s="27"/>
    </row>
    <row r="528" spans="1:8" ht="12.75">
      <c r="A528" s="4" t="s">
        <v>265</v>
      </c>
      <c r="B528" s="4"/>
      <c r="C528" s="4" t="s">
        <v>563</v>
      </c>
      <c r="D528" s="107" t="s">
        <v>871</v>
      </c>
      <c r="E528" s="108"/>
      <c r="F528" s="4" t="s">
        <v>898</v>
      </c>
      <c r="G528" s="16">
        <v>5.9122</v>
      </c>
      <c r="H528" s="16">
        <v>0</v>
      </c>
    </row>
    <row r="529" spans="1:8" ht="12" customHeight="1">
      <c r="A529" s="4"/>
      <c r="B529" s="4"/>
      <c r="C529" s="4"/>
      <c r="D529" s="123" t="s">
        <v>1208</v>
      </c>
      <c r="E529" s="124"/>
      <c r="F529" s="123"/>
      <c r="G529" s="49">
        <v>5.9122</v>
      </c>
      <c r="H529" s="27"/>
    </row>
    <row r="530" spans="1:8" ht="12.75">
      <c r="A530" s="4" t="s">
        <v>266</v>
      </c>
      <c r="B530" s="4"/>
      <c r="C530" s="4" t="s">
        <v>564</v>
      </c>
      <c r="D530" s="107" t="s">
        <v>872</v>
      </c>
      <c r="E530" s="108"/>
      <c r="F530" s="4" t="s">
        <v>898</v>
      </c>
      <c r="G530" s="16">
        <v>49.5449</v>
      </c>
      <c r="H530" s="16">
        <v>0</v>
      </c>
    </row>
    <row r="531" spans="1:8" ht="12" customHeight="1">
      <c r="A531" s="4"/>
      <c r="B531" s="4"/>
      <c r="C531" s="4"/>
      <c r="D531" s="123" t="s">
        <v>1209</v>
      </c>
      <c r="E531" s="124"/>
      <c r="F531" s="123"/>
      <c r="G531" s="49">
        <v>49.5449</v>
      </c>
      <c r="H531" s="27"/>
    </row>
    <row r="532" spans="1:8" ht="12.75">
      <c r="A532" s="4" t="s">
        <v>267</v>
      </c>
      <c r="B532" s="4"/>
      <c r="C532" s="4" t="s">
        <v>565</v>
      </c>
      <c r="D532" s="107" t="s">
        <v>873</v>
      </c>
      <c r="E532" s="108"/>
      <c r="F532" s="4" t="s">
        <v>898</v>
      </c>
      <c r="G532" s="16">
        <v>43.4485</v>
      </c>
      <c r="H532" s="16">
        <v>0</v>
      </c>
    </row>
    <row r="533" spans="1:8" ht="12" customHeight="1">
      <c r="A533" s="4"/>
      <c r="B533" s="4"/>
      <c r="C533" s="4"/>
      <c r="D533" s="123" t="s">
        <v>1210</v>
      </c>
      <c r="E533" s="124"/>
      <c r="F533" s="123"/>
      <c r="G533" s="49">
        <v>43.4485</v>
      </c>
      <c r="H533" s="27"/>
    </row>
    <row r="534" spans="1:8" ht="12.75">
      <c r="A534" s="4" t="s">
        <v>268</v>
      </c>
      <c r="B534" s="4"/>
      <c r="C534" s="4" t="s">
        <v>566</v>
      </c>
      <c r="D534" s="107" t="s">
        <v>874</v>
      </c>
      <c r="E534" s="108"/>
      <c r="F534" s="4" t="s">
        <v>898</v>
      </c>
      <c r="G534" s="16">
        <v>5.9122</v>
      </c>
      <c r="H534" s="16">
        <v>0</v>
      </c>
    </row>
    <row r="535" spans="1:8" ht="12" customHeight="1">
      <c r="A535" s="4"/>
      <c r="B535" s="4"/>
      <c r="C535" s="4"/>
      <c r="D535" s="123" t="s">
        <v>1208</v>
      </c>
      <c r="E535" s="124"/>
      <c r="F535" s="123"/>
      <c r="G535" s="49">
        <v>5.9122</v>
      </c>
      <c r="H535" s="27"/>
    </row>
    <row r="536" spans="1:8" ht="12.75">
      <c r="A536" s="4" t="s">
        <v>269</v>
      </c>
      <c r="B536" s="4"/>
      <c r="C536" s="4" t="s">
        <v>567</v>
      </c>
      <c r="D536" s="107" t="s">
        <v>875</v>
      </c>
      <c r="E536" s="108"/>
      <c r="F536" s="4" t="s">
        <v>898</v>
      </c>
      <c r="G536" s="16">
        <v>49.555</v>
      </c>
      <c r="H536" s="16">
        <v>0</v>
      </c>
    </row>
    <row r="537" spans="1:8" ht="12" customHeight="1">
      <c r="A537" s="4"/>
      <c r="B537" s="4"/>
      <c r="C537" s="4"/>
      <c r="D537" s="123" t="s">
        <v>1211</v>
      </c>
      <c r="E537" s="124"/>
      <c r="F537" s="123"/>
      <c r="G537" s="49">
        <v>49.555</v>
      </c>
      <c r="H537" s="27"/>
    </row>
    <row r="538" spans="1:8" ht="12.75">
      <c r="A538" s="4" t="s">
        <v>270</v>
      </c>
      <c r="B538" s="4"/>
      <c r="C538" s="4" t="s">
        <v>568</v>
      </c>
      <c r="D538" s="107" t="s">
        <v>876</v>
      </c>
      <c r="E538" s="108"/>
      <c r="F538" s="4" t="s">
        <v>898</v>
      </c>
      <c r="G538" s="16">
        <v>43.4485</v>
      </c>
      <c r="H538" s="16">
        <v>0</v>
      </c>
    </row>
    <row r="539" spans="1:8" ht="12" customHeight="1">
      <c r="A539" s="4"/>
      <c r="B539" s="4"/>
      <c r="C539" s="4"/>
      <c r="D539" s="123" t="s">
        <v>1210</v>
      </c>
      <c r="E539" s="124"/>
      <c r="F539" s="123"/>
      <c r="G539" s="49">
        <v>43.4485</v>
      </c>
      <c r="H539" s="27"/>
    </row>
    <row r="540" spans="1:8" ht="12.75">
      <c r="A540" s="4" t="s">
        <v>271</v>
      </c>
      <c r="B540" s="4"/>
      <c r="C540" s="4" t="s">
        <v>569</v>
      </c>
      <c r="D540" s="107" t="s">
        <v>877</v>
      </c>
      <c r="E540" s="108"/>
      <c r="F540" s="4" t="s">
        <v>898</v>
      </c>
      <c r="G540" s="16">
        <v>622.279</v>
      </c>
      <c r="H540" s="16">
        <v>0</v>
      </c>
    </row>
    <row r="541" spans="1:8" ht="12" customHeight="1">
      <c r="A541" s="4"/>
      <c r="B541" s="4"/>
      <c r="C541" s="4"/>
      <c r="D541" s="123" t="s">
        <v>1212</v>
      </c>
      <c r="E541" s="124"/>
      <c r="F541" s="123"/>
      <c r="G541" s="49">
        <v>622.279</v>
      </c>
      <c r="H541" s="27"/>
    </row>
    <row r="542" spans="1:8" ht="12.75">
      <c r="A542" s="4" t="s">
        <v>272</v>
      </c>
      <c r="B542" s="4"/>
      <c r="C542" s="4" t="s">
        <v>570</v>
      </c>
      <c r="D542" s="107" t="s">
        <v>878</v>
      </c>
      <c r="E542" s="108"/>
      <c r="F542" s="4" t="s">
        <v>898</v>
      </c>
      <c r="G542" s="16">
        <v>5.9122</v>
      </c>
      <c r="H542" s="16">
        <v>0</v>
      </c>
    </row>
    <row r="543" spans="1:8" ht="12" customHeight="1">
      <c r="A543" s="4"/>
      <c r="B543" s="4"/>
      <c r="C543" s="4"/>
      <c r="D543" s="123" t="s">
        <v>1208</v>
      </c>
      <c r="E543" s="124"/>
      <c r="F543" s="123"/>
      <c r="G543" s="49">
        <v>5.9122</v>
      </c>
      <c r="H543" s="27"/>
    </row>
    <row r="544" spans="1:8" ht="12.75">
      <c r="A544" s="4" t="s">
        <v>273</v>
      </c>
      <c r="B544" s="4"/>
      <c r="C544" s="4" t="s">
        <v>571</v>
      </c>
      <c r="D544" s="107" t="s">
        <v>879</v>
      </c>
      <c r="E544" s="108"/>
      <c r="F544" s="4" t="s">
        <v>898</v>
      </c>
      <c r="G544" s="16">
        <v>88.683</v>
      </c>
      <c r="H544" s="16">
        <v>0</v>
      </c>
    </row>
    <row r="545" spans="1:8" ht="12" customHeight="1">
      <c r="A545" s="4"/>
      <c r="B545" s="4"/>
      <c r="C545" s="4"/>
      <c r="D545" s="123" t="s">
        <v>1213</v>
      </c>
      <c r="E545" s="124"/>
      <c r="F545" s="123"/>
      <c r="G545" s="49">
        <v>88.683</v>
      </c>
      <c r="H545" s="27"/>
    </row>
    <row r="546" spans="1:8" ht="12.75">
      <c r="A546" s="4" t="s">
        <v>274</v>
      </c>
      <c r="B546" s="4"/>
      <c r="C546" s="4" t="s">
        <v>565</v>
      </c>
      <c r="D546" s="107" t="s">
        <v>880</v>
      </c>
      <c r="E546" s="108"/>
      <c r="F546" s="4" t="s">
        <v>898</v>
      </c>
      <c r="G546" s="16">
        <v>59</v>
      </c>
      <c r="H546" s="16">
        <v>0</v>
      </c>
    </row>
    <row r="547" spans="1:8" ht="12" customHeight="1">
      <c r="A547" s="4"/>
      <c r="B547" s="4"/>
      <c r="C547" s="4"/>
      <c r="D547" s="123" t="s">
        <v>1214</v>
      </c>
      <c r="E547" s="124"/>
      <c r="F547" s="123"/>
      <c r="G547" s="49">
        <v>59</v>
      </c>
      <c r="H547" s="27"/>
    </row>
    <row r="548" spans="1:8" ht="12.75">
      <c r="A548" s="4" t="s">
        <v>275</v>
      </c>
      <c r="B548" s="4"/>
      <c r="C548" s="4" t="s">
        <v>561</v>
      </c>
      <c r="D548" s="107" t="s">
        <v>881</v>
      </c>
      <c r="E548" s="108"/>
      <c r="F548" s="4" t="s">
        <v>898</v>
      </c>
      <c r="G548" s="16">
        <v>91.8</v>
      </c>
      <c r="H548" s="16">
        <v>0</v>
      </c>
    </row>
    <row r="549" spans="1:8" ht="12" customHeight="1">
      <c r="A549" s="4"/>
      <c r="B549" s="4"/>
      <c r="C549" s="4"/>
      <c r="D549" s="123" t="s">
        <v>1215</v>
      </c>
      <c r="E549" s="124"/>
      <c r="F549" s="123"/>
      <c r="G549" s="49">
        <v>91.8</v>
      </c>
      <c r="H549" s="27"/>
    </row>
    <row r="550" spans="1:8" ht="12.75">
      <c r="A550" s="4" t="s">
        <v>276</v>
      </c>
      <c r="B550" s="4"/>
      <c r="C550" s="4" t="s">
        <v>572</v>
      </c>
      <c r="D550" s="107" t="s">
        <v>882</v>
      </c>
      <c r="E550" s="108"/>
      <c r="F550" s="4" t="s">
        <v>898</v>
      </c>
      <c r="G550" s="16">
        <v>170</v>
      </c>
      <c r="H550" s="16">
        <v>0</v>
      </c>
    </row>
    <row r="551" spans="1:8" ht="12" customHeight="1">
      <c r="A551" s="4"/>
      <c r="B551" s="4"/>
      <c r="C551" s="4"/>
      <c r="D551" s="123" t="s">
        <v>1216</v>
      </c>
      <c r="E551" s="124"/>
      <c r="F551" s="123"/>
      <c r="G551" s="49">
        <v>170</v>
      </c>
      <c r="H551" s="27"/>
    </row>
    <row r="552" spans="1:8" ht="12.75">
      <c r="A552" s="4" t="s">
        <v>277</v>
      </c>
      <c r="B552" s="4"/>
      <c r="C552" s="4" t="s">
        <v>573</v>
      </c>
      <c r="D552" s="107" t="s">
        <v>883</v>
      </c>
      <c r="E552" s="108"/>
      <c r="F552" s="4" t="s">
        <v>898</v>
      </c>
      <c r="G552" s="16">
        <v>170</v>
      </c>
      <c r="H552" s="16">
        <v>0</v>
      </c>
    </row>
    <row r="553" spans="1:8" ht="12" customHeight="1">
      <c r="A553" s="4"/>
      <c r="B553" s="4"/>
      <c r="C553" s="4"/>
      <c r="D553" s="123" t="s">
        <v>1216</v>
      </c>
      <c r="E553" s="124"/>
      <c r="F553" s="123"/>
      <c r="G553" s="49">
        <v>170</v>
      </c>
      <c r="H553" s="27"/>
    </row>
    <row r="554" spans="1:8" ht="12.75">
      <c r="A554" s="4" t="s">
        <v>278</v>
      </c>
      <c r="B554" s="4"/>
      <c r="C554" s="4" t="s">
        <v>574</v>
      </c>
      <c r="D554" s="107" t="s">
        <v>884</v>
      </c>
      <c r="E554" s="108"/>
      <c r="F554" s="4" t="s">
        <v>898</v>
      </c>
      <c r="G554" s="16">
        <v>850</v>
      </c>
      <c r="H554" s="16">
        <v>0</v>
      </c>
    </row>
    <row r="555" spans="1:8" ht="12" customHeight="1">
      <c r="A555" s="4"/>
      <c r="B555" s="4"/>
      <c r="C555" s="4"/>
      <c r="D555" s="123" t="s">
        <v>1217</v>
      </c>
      <c r="E555" s="124"/>
      <c r="F555" s="123"/>
      <c r="G555" s="49">
        <v>850</v>
      </c>
      <c r="H555" s="27"/>
    </row>
    <row r="556" spans="1:8" ht="12.75">
      <c r="A556" s="4" t="s">
        <v>279</v>
      </c>
      <c r="B556" s="4"/>
      <c r="C556" s="4" t="s">
        <v>575</v>
      </c>
      <c r="D556" s="107" t="s">
        <v>885</v>
      </c>
      <c r="E556" s="108"/>
      <c r="F556" s="4" t="s">
        <v>898</v>
      </c>
      <c r="G556" s="16">
        <v>90</v>
      </c>
      <c r="H556" s="16">
        <v>0</v>
      </c>
    </row>
    <row r="557" spans="1:8" ht="12" customHeight="1">
      <c r="A557" s="4"/>
      <c r="B557" s="4"/>
      <c r="C557" s="4"/>
      <c r="D557" s="123" t="s">
        <v>1218</v>
      </c>
      <c r="E557" s="124"/>
      <c r="F557" s="123"/>
      <c r="G557" s="49">
        <v>90</v>
      </c>
      <c r="H557" s="27"/>
    </row>
    <row r="559" ht="11.25" customHeight="1">
      <c r="A559" s="9" t="s">
        <v>280</v>
      </c>
    </row>
    <row r="560" spans="1:7" ht="12.75">
      <c r="A560" s="91"/>
      <c r="B560" s="83"/>
      <c r="C560" s="83"/>
      <c r="D560" s="83"/>
      <c r="E560" s="83"/>
      <c r="F560" s="83"/>
      <c r="G560" s="83"/>
    </row>
  </sheetData>
  <sheetProtection/>
  <mergeCells count="566">
    <mergeCell ref="D555:F555"/>
    <mergeCell ref="D556:E556"/>
    <mergeCell ref="D557:F557"/>
    <mergeCell ref="A560:G560"/>
    <mergeCell ref="D549:F549"/>
    <mergeCell ref="D550:E550"/>
    <mergeCell ref="D551:F551"/>
    <mergeCell ref="D552:E552"/>
    <mergeCell ref="D553:F553"/>
    <mergeCell ref="D554:E554"/>
    <mergeCell ref="D543:F543"/>
    <mergeCell ref="D544:E544"/>
    <mergeCell ref="D545:F545"/>
    <mergeCell ref="D546:E546"/>
    <mergeCell ref="D547:F547"/>
    <mergeCell ref="D548:E548"/>
    <mergeCell ref="D537:F537"/>
    <mergeCell ref="D538:E538"/>
    <mergeCell ref="D539:F539"/>
    <mergeCell ref="D540:E540"/>
    <mergeCell ref="D541:F541"/>
    <mergeCell ref="D542:E542"/>
    <mergeCell ref="D531:F531"/>
    <mergeCell ref="D532:E532"/>
    <mergeCell ref="D533:F533"/>
    <mergeCell ref="D534:E534"/>
    <mergeCell ref="D535:F535"/>
    <mergeCell ref="D536:E536"/>
    <mergeCell ref="D525:E525"/>
    <mergeCell ref="D526:F526"/>
    <mergeCell ref="D527:F527"/>
    <mergeCell ref="D528:E528"/>
    <mergeCell ref="D529:F529"/>
    <mergeCell ref="D530:E530"/>
    <mergeCell ref="D519:E519"/>
    <mergeCell ref="D520:F520"/>
    <mergeCell ref="D521:E521"/>
    <mergeCell ref="D522:F522"/>
    <mergeCell ref="D523:E523"/>
    <mergeCell ref="D524:F524"/>
    <mergeCell ref="D513:E513"/>
    <mergeCell ref="D514:F514"/>
    <mergeCell ref="D515:E515"/>
    <mergeCell ref="D516:F516"/>
    <mergeCell ref="D517:E517"/>
    <mergeCell ref="D518:F518"/>
    <mergeCell ref="D507:E507"/>
    <mergeCell ref="D508:F508"/>
    <mergeCell ref="D509:E509"/>
    <mergeCell ref="D510:F510"/>
    <mergeCell ref="D511:E511"/>
    <mergeCell ref="D512:F512"/>
    <mergeCell ref="D501:E501"/>
    <mergeCell ref="D502:F502"/>
    <mergeCell ref="D503:E503"/>
    <mergeCell ref="D504:F504"/>
    <mergeCell ref="D505:E505"/>
    <mergeCell ref="D506:F506"/>
    <mergeCell ref="D495:E495"/>
    <mergeCell ref="D496:F496"/>
    <mergeCell ref="D497:E497"/>
    <mergeCell ref="D498:F498"/>
    <mergeCell ref="D499:E499"/>
    <mergeCell ref="D500:F500"/>
    <mergeCell ref="D489:E489"/>
    <mergeCell ref="D490:F490"/>
    <mergeCell ref="D491:E491"/>
    <mergeCell ref="D492:F492"/>
    <mergeCell ref="D493:E493"/>
    <mergeCell ref="D494:F494"/>
    <mergeCell ref="D483:E483"/>
    <mergeCell ref="D484:F484"/>
    <mergeCell ref="D485:E485"/>
    <mergeCell ref="D486:F486"/>
    <mergeCell ref="D487:E487"/>
    <mergeCell ref="D488:F488"/>
    <mergeCell ref="D477:E477"/>
    <mergeCell ref="D478:F478"/>
    <mergeCell ref="D479:E479"/>
    <mergeCell ref="D480:F480"/>
    <mergeCell ref="D481:E481"/>
    <mergeCell ref="D482:F482"/>
    <mergeCell ref="D471:E471"/>
    <mergeCell ref="D472:F472"/>
    <mergeCell ref="D473:E473"/>
    <mergeCell ref="D474:F474"/>
    <mergeCell ref="D475:E475"/>
    <mergeCell ref="D476:F476"/>
    <mergeCell ref="D465:E465"/>
    <mergeCell ref="D466:F466"/>
    <mergeCell ref="D467:E467"/>
    <mergeCell ref="D468:F468"/>
    <mergeCell ref="D469:E469"/>
    <mergeCell ref="D470:F470"/>
    <mergeCell ref="D459:F459"/>
    <mergeCell ref="D460:E460"/>
    <mergeCell ref="D461:F461"/>
    <mergeCell ref="D462:E462"/>
    <mergeCell ref="D463:E463"/>
    <mergeCell ref="D464:F464"/>
    <mergeCell ref="D453:F453"/>
    <mergeCell ref="D454:E454"/>
    <mergeCell ref="D455:F455"/>
    <mergeCell ref="D456:E456"/>
    <mergeCell ref="D457:F457"/>
    <mergeCell ref="D458:E458"/>
    <mergeCell ref="D447:F447"/>
    <mergeCell ref="D448:E448"/>
    <mergeCell ref="D449:F449"/>
    <mergeCell ref="D450:E450"/>
    <mergeCell ref="D451:F451"/>
    <mergeCell ref="D452:E452"/>
    <mergeCell ref="D441:F441"/>
    <mergeCell ref="D442:E442"/>
    <mergeCell ref="D443:F443"/>
    <mergeCell ref="D444:E444"/>
    <mergeCell ref="D445:F445"/>
    <mergeCell ref="D446:E446"/>
    <mergeCell ref="D435:E435"/>
    <mergeCell ref="D436:F436"/>
    <mergeCell ref="D437:F437"/>
    <mergeCell ref="D438:E438"/>
    <mergeCell ref="D439:F439"/>
    <mergeCell ref="D440:E440"/>
    <mergeCell ref="D429:E429"/>
    <mergeCell ref="D430:F430"/>
    <mergeCell ref="D431:E431"/>
    <mergeCell ref="D432:F432"/>
    <mergeCell ref="D433:E433"/>
    <mergeCell ref="D434:F434"/>
    <mergeCell ref="D423:F423"/>
    <mergeCell ref="D424:E424"/>
    <mergeCell ref="D425:F425"/>
    <mergeCell ref="D426:F426"/>
    <mergeCell ref="D427:E427"/>
    <mergeCell ref="D428:F428"/>
    <mergeCell ref="D417:F417"/>
    <mergeCell ref="D418:E418"/>
    <mergeCell ref="D419:F419"/>
    <mergeCell ref="D420:E420"/>
    <mergeCell ref="D421:F421"/>
    <mergeCell ref="D422:E422"/>
    <mergeCell ref="D411:F411"/>
    <mergeCell ref="D412:E412"/>
    <mergeCell ref="D413:F413"/>
    <mergeCell ref="D414:E414"/>
    <mergeCell ref="D415:F415"/>
    <mergeCell ref="D416:E416"/>
    <mergeCell ref="D405:F405"/>
    <mergeCell ref="D406:E406"/>
    <mergeCell ref="D407:F407"/>
    <mergeCell ref="D408:E408"/>
    <mergeCell ref="D409:F409"/>
    <mergeCell ref="D410:E410"/>
    <mergeCell ref="D399:E399"/>
    <mergeCell ref="D400:F400"/>
    <mergeCell ref="D401:E401"/>
    <mergeCell ref="D402:E402"/>
    <mergeCell ref="D403:F403"/>
    <mergeCell ref="D404:E404"/>
    <mergeCell ref="D393:F393"/>
    <mergeCell ref="D394:E394"/>
    <mergeCell ref="D395:F395"/>
    <mergeCell ref="D396:F396"/>
    <mergeCell ref="D397:E397"/>
    <mergeCell ref="D398:F398"/>
    <mergeCell ref="D387:F387"/>
    <mergeCell ref="D388:E388"/>
    <mergeCell ref="D389:F389"/>
    <mergeCell ref="D390:E390"/>
    <mergeCell ref="D391:F391"/>
    <mergeCell ref="D392:F392"/>
    <mergeCell ref="D381:F381"/>
    <mergeCell ref="D382:E382"/>
    <mergeCell ref="D383:F383"/>
    <mergeCell ref="D384:E384"/>
    <mergeCell ref="D385:F385"/>
    <mergeCell ref="D386:E386"/>
    <mergeCell ref="D375:F375"/>
    <mergeCell ref="D376:E376"/>
    <mergeCell ref="D377:F377"/>
    <mergeCell ref="D378:E378"/>
    <mergeCell ref="D379:F379"/>
    <mergeCell ref="D380:E380"/>
    <mergeCell ref="D369:E369"/>
    <mergeCell ref="D370:F370"/>
    <mergeCell ref="D371:F371"/>
    <mergeCell ref="D372:E372"/>
    <mergeCell ref="D373:F373"/>
    <mergeCell ref="D374:E374"/>
    <mergeCell ref="D363:F363"/>
    <mergeCell ref="D364:F364"/>
    <mergeCell ref="D365:E365"/>
    <mergeCell ref="D366:E366"/>
    <mergeCell ref="D367:E367"/>
    <mergeCell ref="D368:F368"/>
    <mergeCell ref="D357:F357"/>
    <mergeCell ref="D358:E358"/>
    <mergeCell ref="D359:F359"/>
    <mergeCell ref="D360:F360"/>
    <mergeCell ref="D361:F361"/>
    <mergeCell ref="D362:E362"/>
    <mergeCell ref="D351:F351"/>
    <mergeCell ref="D352:E352"/>
    <mergeCell ref="D353:F353"/>
    <mergeCell ref="D354:F354"/>
    <mergeCell ref="D355:F355"/>
    <mergeCell ref="D356:E356"/>
    <mergeCell ref="D345:E345"/>
    <mergeCell ref="D346:F346"/>
    <mergeCell ref="D347:E347"/>
    <mergeCell ref="D348:F348"/>
    <mergeCell ref="D349:F349"/>
    <mergeCell ref="D350:E350"/>
    <mergeCell ref="D339:F339"/>
    <mergeCell ref="D340:F340"/>
    <mergeCell ref="D341:E341"/>
    <mergeCell ref="D342:F342"/>
    <mergeCell ref="D343:E343"/>
    <mergeCell ref="D344:F344"/>
    <mergeCell ref="D333:F333"/>
    <mergeCell ref="D334:E334"/>
    <mergeCell ref="D335:F335"/>
    <mergeCell ref="D336:E336"/>
    <mergeCell ref="D337:F337"/>
    <mergeCell ref="D338:E338"/>
    <mergeCell ref="D327:F327"/>
    <mergeCell ref="D328:E328"/>
    <mergeCell ref="D329:F329"/>
    <mergeCell ref="D330:E330"/>
    <mergeCell ref="D331:F331"/>
    <mergeCell ref="D332:E332"/>
    <mergeCell ref="D321:F321"/>
    <mergeCell ref="D322:E322"/>
    <mergeCell ref="D323:F323"/>
    <mergeCell ref="D324:E324"/>
    <mergeCell ref="D325:F325"/>
    <mergeCell ref="D326:E326"/>
    <mergeCell ref="D315:F315"/>
    <mergeCell ref="D316:E316"/>
    <mergeCell ref="D317:F317"/>
    <mergeCell ref="D318:E318"/>
    <mergeCell ref="D319:F319"/>
    <mergeCell ref="D320:E320"/>
    <mergeCell ref="D309:E309"/>
    <mergeCell ref="D310:F310"/>
    <mergeCell ref="D311:E311"/>
    <mergeCell ref="D312:F312"/>
    <mergeCell ref="D313:E313"/>
    <mergeCell ref="D314:F314"/>
    <mergeCell ref="D303:E303"/>
    <mergeCell ref="D304:E304"/>
    <mergeCell ref="D305:F305"/>
    <mergeCell ref="D306:E306"/>
    <mergeCell ref="D307:E307"/>
    <mergeCell ref="D308:F308"/>
    <mergeCell ref="D297:E297"/>
    <mergeCell ref="D298:F298"/>
    <mergeCell ref="D299:E299"/>
    <mergeCell ref="D300:F300"/>
    <mergeCell ref="D301:E301"/>
    <mergeCell ref="D302:F302"/>
    <mergeCell ref="D291:F291"/>
    <mergeCell ref="D292:F292"/>
    <mergeCell ref="D293:E293"/>
    <mergeCell ref="D294:F294"/>
    <mergeCell ref="D295:F295"/>
    <mergeCell ref="D296:E296"/>
    <mergeCell ref="D285:E285"/>
    <mergeCell ref="D286:F286"/>
    <mergeCell ref="D287:F287"/>
    <mergeCell ref="D288:E288"/>
    <mergeCell ref="D289:F289"/>
    <mergeCell ref="D290:F290"/>
    <mergeCell ref="D279:E279"/>
    <mergeCell ref="D280:F280"/>
    <mergeCell ref="D281:E281"/>
    <mergeCell ref="D282:F282"/>
    <mergeCell ref="D283:E283"/>
    <mergeCell ref="D284:F284"/>
    <mergeCell ref="D273:E273"/>
    <mergeCell ref="D274:F274"/>
    <mergeCell ref="D275:E275"/>
    <mergeCell ref="D276:F276"/>
    <mergeCell ref="D277:E277"/>
    <mergeCell ref="D278:F278"/>
    <mergeCell ref="D267:E267"/>
    <mergeCell ref="D268:F268"/>
    <mergeCell ref="D269:E269"/>
    <mergeCell ref="D270:F270"/>
    <mergeCell ref="D271:E271"/>
    <mergeCell ref="D272:F272"/>
    <mergeCell ref="D261:E261"/>
    <mergeCell ref="D262:E262"/>
    <mergeCell ref="D263:E263"/>
    <mergeCell ref="D264:E264"/>
    <mergeCell ref="D265:F265"/>
    <mergeCell ref="D266:F266"/>
    <mergeCell ref="D255:E255"/>
    <mergeCell ref="D256:E256"/>
    <mergeCell ref="D257:E257"/>
    <mergeCell ref="D258:E258"/>
    <mergeCell ref="D259:E259"/>
    <mergeCell ref="D260:E260"/>
    <mergeCell ref="D249:F249"/>
    <mergeCell ref="D250:E250"/>
    <mergeCell ref="D251:E251"/>
    <mergeCell ref="D252:E252"/>
    <mergeCell ref="D253:E253"/>
    <mergeCell ref="D254:E254"/>
    <mergeCell ref="D243:F243"/>
    <mergeCell ref="D244:E244"/>
    <mergeCell ref="D245:F245"/>
    <mergeCell ref="D246:E246"/>
    <mergeCell ref="D247:F247"/>
    <mergeCell ref="D248:E248"/>
    <mergeCell ref="D237:F237"/>
    <mergeCell ref="D238:E238"/>
    <mergeCell ref="D239:F239"/>
    <mergeCell ref="D240:E240"/>
    <mergeCell ref="D241:F241"/>
    <mergeCell ref="D242:E242"/>
    <mergeCell ref="D231:F231"/>
    <mergeCell ref="D232:E232"/>
    <mergeCell ref="D233:F233"/>
    <mergeCell ref="D234:E234"/>
    <mergeCell ref="D235:F235"/>
    <mergeCell ref="D236:E236"/>
    <mergeCell ref="D225:E225"/>
    <mergeCell ref="D226:F226"/>
    <mergeCell ref="D227:E227"/>
    <mergeCell ref="D228:E228"/>
    <mergeCell ref="D229:F229"/>
    <mergeCell ref="D230:E230"/>
    <mergeCell ref="D219:E219"/>
    <mergeCell ref="D220:F220"/>
    <mergeCell ref="D221:E221"/>
    <mergeCell ref="D222:F222"/>
    <mergeCell ref="D223:E223"/>
    <mergeCell ref="D224:F224"/>
    <mergeCell ref="D213:E213"/>
    <mergeCell ref="D214:F214"/>
    <mergeCell ref="D215:E215"/>
    <mergeCell ref="D216:F216"/>
    <mergeCell ref="D217:E217"/>
    <mergeCell ref="D218:F218"/>
    <mergeCell ref="D207:E207"/>
    <mergeCell ref="D208:F208"/>
    <mergeCell ref="D209:E209"/>
    <mergeCell ref="D210:E210"/>
    <mergeCell ref="D211:E211"/>
    <mergeCell ref="D212:F212"/>
    <mergeCell ref="D201:E201"/>
    <mergeCell ref="D202:F202"/>
    <mergeCell ref="D203:E203"/>
    <mergeCell ref="D204:F204"/>
    <mergeCell ref="D205:E205"/>
    <mergeCell ref="D206:F206"/>
    <mergeCell ref="D195:E195"/>
    <mergeCell ref="D196:F196"/>
    <mergeCell ref="D197:E197"/>
    <mergeCell ref="D198:F198"/>
    <mergeCell ref="D199:E199"/>
    <mergeCell ref="D200:F200"/>
    <mergeCell ref="D189:F189"/>
    <mergeCell ref="D190:E190"/>
    <mergeCell ref="D191:F191"/>
    <mergeCell ref="D192:E192"/>
    <mergeCell ref="D193:E193"/>
    <mergeCell ref="D194:F194"/>
    <mergeCell ref="D183:E183"/>
    <mergeCell ref="D184:F184"/>
    <mergeCell ref="D185:E185"/>
    <mergeCell ref="D186:F186"/>
    <mergeCell ref="D187:F187"/>
    <mergeCell ref="D188:E188"/>
    <mergeCell ref="D177:E177"/>
    <mergeCell ref="D178:F178"/>
    <mergeCell ref="D179:E179"/>
    <mergeCell ref="D180:F180"/>
    <mergeCell ref="D181:E181"/>
    <mergeCell ref="D182:F182"/>
    <mergeCell ref="D171:F171"/>
    <mergeCell ref="D172:E172"/>
    <mergeCell ref="D173:F173"/>
    <mergeCell ref="D174:E174"/>
    <mergeCell ref="D175:F175"/>
    <mergeCell ref="D176:F176"/>
    <mergeCell ref="D165:E165"/>
    <mergeCell ref="D166:F166"/>
    <mergeCell ref="D167:E167"/>
    <mergeCell ref="D168:F168"/>
    <mergeCell ref="D169:E169"/>
    <mergeCell ref="D170:F170"/>
    <mergeCell ref="D159:E159"/>
    <mergeCell ref="D160:F160"/>
    <mergeCell ref="D161:E161"/>
    <mergeCell ref="D162:F162"/>
    <mergeCell ref="D163:E163"/>
    <mergeCell ref="D164:F164"/>
    <mergeCell ref="D153:F153"/>
    <mergeCell ref="D154:E154"/>
    <mergeCell ref="D155:F155"/>
    <mergeCell ref="D156:E156"/>
    <mergeCell ref="D157:F157"/>
    <mergeCell ref="D158:F158"/>
    <mergeCell ref="D147:F147"/>
    <mergeCell ref="D148:E148"/>
    <mergeCell ref="D149:F149"/>
    <mergeCell ref="D150:E150"/>
    <mergeCell ref="D151:F151"/>
    <mergeCell ref="D152:E152"/>
    <mergeCell ref="D141:F141"/>
    <mergeCell ref="D142:E142"/>
    <mergeCell ref="D143:F143"/>
    <mergeCell ref="D144:E144"/>
    <mergeCell ref="D145:F145"/>
    <mergeCell ref="D146:E146"/>
    <mergeCell ref="D135:F135"/>
    <mergeCell ref="D136:E136"/>
    <mergeCell ref="D137:F137"/>
    <mergeCell ref="D138:E138"/>
    <mergeCell ref="D139:F139"/>
    <mergeCell ref="D140:E140"/>
    <mergeCell ref="D129:F129"/>
    <mergeCell ref="D130:E130"/>
    <mergeCell ref="D131:F131"/>
    <mergeCell ref="D132:E132"/>
    <mergeCell ref="D133:F133"/>
    <mergeCell ref="D134:E134"/>
    <mergeCell ref="D123:F123"/>
    <mergeCell ref="D124:E124"/>
    <mergeCell ref="D125:F125"/>
    <mergeCell ref="D126:E126"/>
    <mergeCell ref="D127:F127"/>
    <mergeCell ref="D128:E128"/>
    <mergeCell ref="D117:F117"/>
    <mergeCell ref="D118:E118"/>
    <mergeCell ref="D119:F119"/>
    <mergeCell ref="D120:E120"/>
    <mergeCell ref="D121:F121"/>
    <mergeCell ref="D122:E122"/>
    <mergeCell ref="D111:F111"/>
    <mergeCell ref="D112:E112"/>
    <mergeCell ref="D113:F113"/>
    <mergeCell ref="D114:E114"/>
    <mergeCell ref="D115:F115"/>
    <mergeCell ref="D116:E116"/>
    <mergeCell ref="D105:E105"/>
    <mergeCell ref="D106:F106"/>
    <mergeCell ref="D107:F107"/>
    <mergeCell ref="D108:E108"/>
    <mergeCell ref="D109:F109"/>
    <mergeCell ref="D110:E110"/>
    <mergeCell ref="D99:E99"/>
    <mergeCell ref="D100:F100"/>
    <mergeCell ref="D101:E101"/>
    <mergeCell ref="D102:F102"/>
    <mergeCell ref="D103:E103"/>
    <mergeCell ref="D104:F104"/>
    <mergeCell ref="D93:E93"/>
    <mergeCell ref="D94:F94"/>
    <mergeCell ref="D95:E95"/>
    <mergeCell ref="D96:F96"/>
    <mergeCell ref="D97:E97"/>
    <mergeCell ref="D98:F98"/>
    <mergeCell ref="D87:E87"/>
    <mergeCell ref="D88:F88"/>
    <mergeCell ref="D89:E89"/>
    <mergeCell ref="D90:F90"/>
    <mergeCell ref="D91:E91"/>
    <mergeCell ref="D92:F92"/>
    <mergeCell ref="D81:E81"/>
    <mergeCell ref="D82:F82"/>
    <mergeCell ref="D83:E83"/>
    <mergeCell ref="D84:F84"/>
    <mergeCell ref="D85:E85"/>
    <mergeCell ref="D86:F86"/>
    <mergeCell ref="D75:E75"/>
    <mergeCell ref="D76:F76"/>
    <mergeCell ref="D77:E77"/>
    <mergeCell ref="D78:F78"/>
    <mergeCell ref="D79:E79"/>
    <mergeCell ref="D80:F80"/>
    <mergeCell ref="D69:E69"/>
    <mergeCell ref="D70:F70"/>
    <mergeCell ref="D71:E71"/>
    <mergeCell ref="D72:F72"/>
    <mergeCell ref="D73:E73"/>
    <mergeCell ref="D74:F74"/>
    <mergeCell ref="D63:E63"/>
    <mergeCell ref="D64:F64"/>
    <mergeCell ref="D65:E65"/>
    <mergeCell ref="D66:F66"/>
    <mergeCell ref="D67:E67"/>
    <mergeCell ref="D68:F68"/>
    <mergeCell ref="D57:E57"/>
    <mergeCell ref="D58:F58"/>
    <mergeCell ref="D59:E59"/>
    <mergeCell ref="D60:F60"/>
    <mergeCell ref="D61:E61"/>
    <mergeCell ref="D62:F62"/>
    <mergeCell ref="D51:E51"/>
    <mergeCell ref="D52:F52"/>
    <mergeCell ref="D53:E53"/>
    <mergeCell ref="D54:F54"/>
    <mergeCell ref="D55:E55"/>
    <mergeCell ref="D56:F56"/>
    <mergeCell ref="D45:F45"/>
    <mergeCell ref="D46:E46"/>
    <mergeCell ref="D47:E47"/>
    <mergeCell ref="D48:F48"/>
    <mergeCell ref="D49:E49"/>
    <mergeCell ref="D50:F50"/>
    <mergeCell ref="D39:E39"/>
    <mergeCell ref="D40:F40"/>
    <mergeCell ref="D41:E41"/>
    <mergeCell ref="D42:F42"/>
    <mergeCell ref="D43:E43"/>
    <mergeCell ref="D44:F44"/>
    <mergeCell ref="D33:E33"/>
    <mergeCell ref="D34:F34"/>
    <mergeCell ref="D35:E35"/>
    <mergeCell ref="D36:F36"/>
    <mergeCell ref="D37:E37"/>
    <mergeCell ref="D38:F38"/>
    <mergeCell ref="D27:E27"/>
    <mergeCell ref="D28:F28"/>
    <mergeCell ref="D29:E29"/>
    <mergeCell ref="D30:F30"/>
    <mergeCell ref="D31:F31"/>
    <mergeCell ref="D32:F32"/>
    <mergeCell ref="D21:F21"/>
    <mergeCell ref="D22:E22"/>
    <mergeCell ref="D23:F23"/>
    <mergeCell ref="D24:E24"/>
    <mergeCell ref="D25:F25"/>
    <mergeCell ref="D26:F26"/>
    <mergeCell ref="D17:E17"/>
    <mergeCell ref="D18:F18"/>
    <mergeCell ref="D19:E19"/>
    <mergeCell ref="D20:F20"/>
    <mergeCell ref="D16:F16"/>
    <mergeCell ref="D13:E13"/>
    <mergeCell ref="D14:F14"/>
    <mergeCell ref="D15:E15"/>
    <mergeCell ref="D10:E10"/>
    <mergeCell ref="D11:E11"/>
    <mergeCell ref="D12:F12"/>
    <mergeCell ref="A6:B7"/>
    <mergeCell ref="C6:D7"/>
    <mergeCell ref="E6:E7"/>
    <mergeCell ref="F6:H7"/>
    <mergeCell ref="A8:B9"/>
    <mergeCell ref="C8:D9"/>
    <mergeCell ref="E8:E9"/>
    <mergeCell ref="F8:H9"/>
    <mergeCell ref="A1:H1"/>
    <mergeCell ref="A2:B3"/>
    <mergeCell ref="C2:D3"/>
    <mergeCell ref="E2:E3"/>
    <mergeCell ref="F2:H3"/>
    <mergeCell ref="A4:B5"/>
    <mergeCell ref="C4:D5"/>
    <mergeCell ref="E4:E5"/>
    <mergeCell ref="F4:H5"/>
  </mergeCells>
  <printOptions/>
  <pageMargins left="0.394" right="0.394" top="0.591" bottom="0.591" header="0.5" footer="0.5"/>
  <pageSetup fitToHeight="0" fitToWidth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4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77"/>
      <c r="B1" s="51"/>
      <c r="C1" s="127" t="s">
        <v>1235</v>
      </c>
      <c r="D1" s="79"/>
      <c r="E1" s="79"/>
      <c r="F1" s="79"/>
      <c r="G1" s="79"/>
      <c r="H1" s="79"/>
      <c r="I1" s="79"/>
    </row>
    <row r="2" spans="1:10" ht="12.75">
      <c r="A2" s="80" t="s">
        <v>1</v>
      </c>
      <c r="B2" s="81"/>
      <c r="C2" s="84" t="str">
        <f>'Stavební rozpočet'!C2</f>
        <v>Přístavba polytechnické dílny - ZŠ Grafická</v>
      </c>
      <c r="D2" s="114"/>
      <c r="E2" s="87" t="s">
        <v>904</v>
      </c>
      <c r="F2" s="87" t="str">
        <f>'Stavební rozpočet'!I2</f>
        <v>Atelier H3T architekti, s.r.o.</v>
      </c>
      <c r="G2" s="81"/>
      <c r="H2" s="87" t="s">
        <v>1260</v>
      </c>
      <c r="I2" s="128" t="s">
        <v>1264</v>
      </c>
      <c r="J2" s="31"/>
    </row>
    <row r="3" spans="1:10" ht="12.75">
      <c r="A3" s="82"/>
      <c r="B3" s="83"/>
      <c r="C3" s="85"/>
      <c r="D3" s="85"/>
      <c r="E3" s="83"/>
      <c r="F3" s="83"/>
      <c r="G3" s="83"/>
      <c r="H3" s="83"/>
      <c r="I3" s="89"/>
      <c r="J3" s="31"/>
    </row>
    <row r="4" spans="1:10" ht="12.75">
      <c r="A4" s="90" t="s">
        <v>2</v>
      </c>
      <c r="B4" s="83"/>
      <c r="C4" s="91" t="str">
        <f>'Stavební rozpočet'!C4</f>
        <v>Dílna</v>
      </c>
      <c r="D4" s="83"/>
      <c r="E4" s="91" t="s">
        <v>905</v>
      </c>
      <c r="F4" s="91" t="str">
        <f>'Stavební rozpočet'!I4</f>
        <v>Atelier H3T architekti,s.r.o., Nám.Česk.povstání 2</v>
      </c>
      <c r="G4" s="83"/>
      <c r="H4" s="91" t="s">
        <v>1260</v>
      </c>
      <c r="I4" s="129" t="s">
        <v>1264</v>
      </c>
      <c r="J4" s="31"/>
    </row>
    <row r="5" spans="1:10" ht="12.75">
      <c r="A5" s="82"/>
      <c r="B5" s="83"/>
      <c r="C5" s="83"/>
      <c r="D5" s="83"/>
      <c r="E5" s="83"/>
      <c r="F5" s="83"/>
      <c r="G5" s="83"/>
      <c r="H5" s="83"/>
      <c r="I5" s="89"/>
      <c r="J5" s="31"/>
    </row>
    <row r="6" spans="1:10" ht="12.75">
      <c r="A6" s="90" t="s">
        <v>3</v>
      </c>
      <c r="B6" s="83"/>
      <c r="C6" s="91" t="str">
        <f>'Stavební rozpočet'!C6</f>
        <v>ZŠ Grafická č. 1060/13, Praha 5 - Smíchov</v>
      </c>
      <c r="D6" s="83"/>
      <c r="E6" s="91" t="s">
        <v>906</v>
      </c>
      <c r="F6" s="91" t="str">
        <f>'Stavební rozpočet'!I6</f>
        <v> </v>
      </c>
      <c r="G6" s="83"/>
      <c r="H6" s="91" t="s">
        <v>1260</v>
      </c>
      <c r="I6" s="129"/>
      <c r="J6" s="31"/>
    </row>
    <row r="7" spans="1:10" ht="12.75">
      <c r="A7" s="82"/>
      <c r="B7" s="83"/>
      <c r="C7" s="83"/>
      <c r="D7" s="83"/>
      <c r="E7" s="83"/>
      <c r="F7" s="83"/>
      <c r="G7" s="83"/>
      <c r="H7" s="83"/>
      <c r="I7" s="89"/>
      <c r="J7" s="31"/>
    </row>
    <row r="8" spans="1:10" ht="12.75">
      <c r="A8" s="90" t="s">
        <v>887</v>
      </c>
      <c r="B8" s="83"/>
      <c r="C8" s="91" t="str">
        <f>'Stavební rozpočet'!F4</f>
        <v>04.04.2019</v>
      </c>
      <c r="D8" s="83"/>
      <c r="E8" s="91" t="s">
        <v>888</v>
      </c>
      <c r="F8" s="91" t="str">
        <f>'Stavební rozpočet'!F6</f>
        <v> </v>
      </c>
      <c r="G8" s="83"/>
      <c r="H8" s="92" t="s">
        <v>1261</v>
      </c>
      <c r="I8" s="129" t="s">
        <v>279</v>
      </c>
      <c r="J8" s="31"/>
    </row>
    <row r="9" spans="1:10" ht="12.75">
      <c r="A9" s="82"/>
      <c r="B9" s="83"/>
      <c r="C9" s="83"/>
      <c r="D9" s="83"/>
      <c r="E9" s="83"/>
      <c r="F9" s="83"/>
      <c r="G9" s="83"/>
      <c r="H9" s="83"/>
      <c r="I9" s="89"/>
      <c r="J9" s="31"/>
    </row>
    <row r="10" spans="1:10" ht="12.75">
      <c r="A10" s="90" t="s">
        <v>4</v>
      </c>
      <c r="B10" s="83"/>
      <c r="C10" s="91" t="str">
        <f>'Stavební rozpočet'!C8</f>
        <v> </v>
      </c>
      <c r="D10" s="83"/>
      <c r="E10" s="91" t="s">
        <v>907</v>
      </c>
      <c r="F10" s="91" t="str">
        <f>'Stavební rozpočet'!I8</f>
        <v>Ing. Petr FILIP</v>
      </c>
      <c r="G10" s="83"/>
      <c r="H10" s="92" t="s">
        <v>1262</v>
      </c>
      <c r="I10" s="132" t="str">
        <f>'Stavební rozpočet'!F8</f>
        <v>21.09.2020</v>
      </c>
      <c r="J10" s="31"/>
    </row>
    <row r="11" spans="1:10" ht="12.75">
      <c r="A11" s="130"/>
      <c r="B11" s="131"/>
      <c r="C11" s="131"/>
      <c r="D11" s="131"/>
      <c r="E11" s="131"/>
      <c r="F11" s="131"/>
      <c r="G11" s="131"/>
      <c r="H11" s="131"/>
      <c r="I11" s="133"/>
      <c r="J11" s="31"/>
    </row>
    <row r="12" spans="1:9" ht="23.25" customHeight="1">
      <c r="A12" s="134" t="s">
        <v>1220</v>
      </c>
      <c r="B12" s="135"/>
      <c r="C12" s="135"/>
      <c r="D12" s="135"/>
      <c r="E12" s="135"/>
      <c r="F12" s="135"/>
      <c r="G12" s="135"/>
      <c r="H12" s="135"/>
      <c r="I12" s="135"/>
    </row>
    <row r="13" spans="1:10" ht="26.25" customHeight="1">
      <c r="A13" s="52" t="s">
        <v>1221</v>
      </c>
      <c r="B13" s="136" t="s">
        <v>1233</v>
      </c>
      <c r="C13" s="137"/>
      <c r="D13" s="52" t="s">
        <v>1236</v>
      </c>
      <c r="E13" s="136" t="s">
        <v>1245</v>
      </c>
      <c r="F13" s="137"/>
      <c r="G13" s="52" t="s">
        <v>1246</v>
      </c>
      <c r="H13" s="136" t="s">
        <v>1263</v>
      </c>
      <c r="I13" s="137"/>
      <c r="J13" s="31"/>
    </row>
    <row r="14" spans="1:10" ht="15" customHeight="1">
      <c r="A14" s="53" t="s">
        <v>1222</v>
      </c>
      <c r="B14" s="57" t="s">
        <v>1234</v>
      </c>
      <c r="C14" s="61">
        <f>SUM('Stavební rozpočet'!AB12:AB341)</f>
        <v>0</v>
      </c>
      <c r="D14" s="138" t="s">
        <v>1237</v>
      </c>
      <c r="E14" s="139"/>
      <c r="F14" s="61">
        <f>VORN!I15</f>
        <v>0</v>
      </c>
      <c r="G14" s="138" t="s">
        <v>1247</v>
      </c>
      <c r="H14" s="139"/>
      <c r="I14" s="61">
        <f>VORN!I21</f>
        <v>0</v>
      </c>
      <c r="J14" s="31"/>
    </row>
    <row r="15" spans="1:10" ht="15" customHeight="1">
      <c r="A15" s="54"/>
      <c r="B15" s="57" t="s">
        <v>917</v>
      </c>
      <c r="C15" s="61">
        <f>SUM('Stavební rozpočet'!AC12:AC341)</f>
        <v>0</v>
      </c>
      <c r="D15" s="138" t="s">
        <v>1238</v>
      </c>
      <c r="E15" s="139"/>
      <c r="F15" s="61">
        <f>VORN!I16</f>
        <v>0</v>
      </c>
      <c r="G15" s="138" t="s">
        <v>1248</v>
      </c>
      <c r="H15" s="139"/>
      <c r="I15" s="61">
        <f>VORN!I22</f>
        <v>0</v>
      </c>
      <c r="J15" s="31"/>
    </row>
    <row r="16" spans="1:10" ht="15" customHeight="1">
      <c r="A16" s="53" t="s">
        <v>1223</v>
      </c>
      <c r="B16" s="57" t="s">
        <v>1234</v>
      </c>
      <c r="C16" s="61">
        <f>SUM('Stavební rozpočet'!AD12:AD341)</f>
        <v>0</v>
      </c>
      <c r="D16" s="138" t="s">
        <v>1239</v>
      </c>
      <c r="E16" s="139"/>
      <c r="F16" s="61">
        <f>VORN!I17</f>
        <v>0</v>
      </c>
      <c r="G16" s="138" t="s">
        <v>1249</v>
      </c>
      <c r="H16" s="139"/>
      <c r="I16" s="61">
        <f>VORN!I23</f>
        <v>0</v>
      </c>
      <c r="J16" s="31"/>
    </row>
    <row r="17" spans="1:10" ht="15" customHeight="1">
      <c r="A17" s="54"/>
      <c r="B17" s="57" t="s">
        <v>917</v>
      </c>
      <c r="C17" s="61">
        <f>SUM('Stavební rozpočet'!AE12:AE341)</f>
        <v>0</v>
      </c>
      <c r="D17" s="138"/>
      <c r="E17" s="139"/>
      <c r="F17" s="62"/>
      <c r="G17" s="138" t="s">
        <v>1250</v>
      </c>
      <c r="H17" s="139"/>
      <c r="I17" s="61">
        <f>VORN!I24</f>
        <v>0</v>
      </c>
      <c r="J17" s="31"/>
    </row>
    <row r="18" spans="1:10" ht="15" customHeight="1">
      <c r="A18" s="53" t="s">
        <v>1224</v>
      </c>
      <c r="B18" s="57" t="s">
        <v>1234</v>
      </c>
      <c r="C18" s="61">
        <f>SUM('Stavební rozpočet'!AF12:AF341)</f>
        <v>0</v>
      </c>
      <c r="D18" s="138"/>
      <c r="E18" s="139"/>
      <c r="F18" s="62"/>
      <c r="G18" s="138" t="s">
        <v>1251</v>
      </c>
      <c r="H18" s="139"/>
      <c r="I18" s="61">
        <f>VORN!I25</f>
        <v>0</v>
      </c>
      <c r="J18" s="31"/>
    </row>
    <row r="19" spans="1:10" ht="15" customHeight="1">
      <c r="A19" s="54"/>
      <c r="B19" s="57" t="s">
        <v>917</v>
      </c>
      <c r="C19" s="61">
        <f>SUM('Stavební rozpočet'!AG12:AG341)</f>
        <v>0</v>
      </c>
      <c r="D19" s="138"/>
      <c r="E19" s="139"/>
      <c r="F19" s="62"/>
      <c r="G19" s="138" t="s">
        <v>1252</v>
      </c>
      <c r="H19" s="139"/>
      <c r="I19" s="61">
        <f>VORN!I26</f>
        <v>0</v>
      </c>
      <c r="J19" s="31"/>
    </row>
    <row r="20" spans="1:10" ht="15" customHeight="1">
      <c r="A20" s="140" t="s">
        <v>1225</v>
      </c>
      <c r="B20" s="141"/>
      <c r="C20" s="61">
        <f>SUM('Stavební rozpočet'!AH12:AH341)</f>
        <v>0</v>
      </c>
      <c r="D20" s="138"/>
      <c r="E20" s="139"/>
      <c r="F20" s="62"/>
      <c r="G20" s="138"/>
      <c r="H20" s="139"/>
      <c r="I20" s="62"/>
      <c r="J20" s="31"/>
    </row>
    <row r="21" spans="1:10" ht="15" customHeight="1">
      <c r="A21" s="140" t="s">
        <v>1226</v>
      </c>
      <c r="B21" s="141"/>
      <c r="C21" s="61">
        <f>SUM('Stavební rozpočet'!Z12:Z341)</f>
        <v>0</v>
      </c>
      <c r="D21" s="138"/>
      <c r="E21" s="139"/>
      <c r="F21" s="62"/>
      <c r="G21" s="138"/>
      <c r="H21" s="139"/>
      <c r="I21" s="62"/>
      <c r="J21" s="31"/>
    </row>
    <row r="22" spans="1:10" ht="16.5" customHeight="1">
      <c r="A22" s="140" t="s">
        <v>1227</v>
      </c>
      <c r="B22" s="141"/>
      <c r="C22" s="61">
        <f>SUM(C14:C21)</f>
        <v>0</v>
      </c>
      <c r="D22" s="140" t="s">
        <v>1240</v>
      </c>
      <c r="E22" s="141"/>
      <c r="F22" s="61">
        <f>SUM(F14:F21)</f>
        <v>0</v>
      </c>
      <c r="G22" s="140" t="s">
        <v>1253</v>
      </c>
      <c r="H22" s="141"/>
      <c r="I22" s="61">
        <f>ROUND(C22*(5/100),2)</f>
        <v>0</v>
      </c>
      <c r="J22" s="31"/>
    </row>
    <row r="23" spans="1:10" ht="15" customHeight="1">
      <c r="A23" s="8"/>
      <c r="B23" s="8"/>
      <c r="C23" s="59"/>
      <c r="D23" s="140" t="s">
        <v>1241</v>
      </c>
      <c r="E23" s="141"/>
      <c r="F23" s="63">
        <v>0</v>
      </c>
      <c r="G23" s="140" t="s">
        <v>1254</v>
      </c>
      <c r="H23" s="141"/>
      <c r="I23" s="61">
        <v>0</v>
      </c>
      <c r="J23" s="31"/>
    </row>
    <row r="24" spans="4:10" ht="15" customHeight="1">
      <c r="D24" s="8"/>
      <c r="E24" s="8"/>
      <c r="F24" s="64"/>
      <c r="G24" s="140" t="s">
        <v>1255</v>
      </c>
      <c r="H24" s="141"/>
      <c r="I24" s="61">
        <f>vorn_sum</f>
        <v>0</v>
      </c>
      <c r="J24" s="31"/>
    </row>
    <row r="25" spans="6:10" ht="15" customHeight="1">
      <c r="F25" s="65"/>
      <c r="G25" s="140" t="s">
        <v>1256</v>
      </c>
      <c r="H25" s="141"/>
      <c r="I25" s="61">
        <v>0</v>
      </c>
      <c r="J25" s="31"/>
    </row>
    <row r="26" spans="1:9" ht="12.75">
      <c r="A26" s="51"/>
      <c r="B26" s="51"/>
      <c r="C26" s="51"/>
      <c r="G26" s="8"/>
      <c r="H26" s="8"/>
      <c r="I26" s="8"/>
    </row>
    <row r="27" spans="1:9" ht="15" customHeight="1">
      <c r="A27" s="142" t="s">
        <v>1228</v>
      </c>
      <c r="B27" s="143"/>
      <c r="C27" s="66">
        <f>SUM('Stavební rozpočet'!AJ12:AJ341)</f>
        <v>0</v>
      </c>
      <c r="D27" s="60"/>
      <c r="E27" s="51"/>
      <c r="F27" s="51"/>
      <c r="G27" s="51"/>
      <c r="H27" s="51"/>
      <c r="I27" s="51"/>
    </row>
    <row r="28" spans="1:10" ht="15" customHeight="1">
      <c r="A28" s="142" t="s">
        <v>1229</v>
      </c>
      <c r="B28" s="143"/>
      <c r="C28" s="66">
        <f>SUM('Stavební rozpočet'!AK12:AK341)</f>
        <v>0</v>
      </c>
      <c r="D28" s="142" t="s">
        <v>1242</v>
      </c>
      <c r="E28" s="143"/>
      <c r="F28" s="66">
        <f>ROUND(C28*(15/100),2)</f>
        <v>0</v>
      </c>
      <c r="G28" s="142" t="s">
        <v>1257</v>
      </c>
      <c r="H28" s="143"/>
      <c r="I28" s="66">
        <f>SUM(C27:C29)</f>
        <v>0</v>
      </c>
      <c r="J28" s="31"/>
    </row>
    <row r="29" spans="1:10" ht="15" customHeight="1">
      <c r="A29" s="142" t="s">
        <v>1230</v>
      </c>
      <c r="B29" s="143"/>
      <c r="C29" s="66">
        <f>SUM('Stavební rozpočet'!AL12:AL341)+(F22+I22+F23+I23+I24+I25)</f>
        <v>0</v>
      </c>
      <c r="D29" s="142" t="s">
        <v>1243</v>
      </c>
      <c r="E29" s="143"/>
      <c r="F29" s="66">
        <f>ROUND(C29*(21/100),2)</f>
        <v>0</v>
      </c>
      <c r="G29" s="142" t="s">
        <v>1258</v>
      </c>
      <c r="H29" s="143"/>
      <c r="I29" s="66">
        <f>SUM(F28:F29)+I28</f>
        <v>0</v>
      </c>
      <c r="J29" s="31"/>
    </row>
    <row r="30" spans="1:9" ht="12.75">
      <c r="A30" s="55"/>
      <c r="B30" s="55"/>
      <c r="C30" s="55"/>
      <c r="D30" s="55"/>
      <c r="E30" s="55"/>
      <c r="F30" s="55"/>
      <c r="G30" s="55"/>
      <c r="H30" s="55"/>
      <c r="I30" s="55"/>
    </row>
    <row r="31" spans="1:10" ht="14.25" customHeight="1">
      <c r="A31" s="144" t="s">
        <v>1231</v>
      </c>
      <c r="B31" s="145"/>
      <c r="C31" s="146"/>
      <c r="D31" s="144" t="s">
        <v>1244</v>
      </c>
      <c r="E31" s="145"/>
      <c r="F31" s="146"/>
      <c r="G31" s="144" t="s">
        <v>1259</v>
      </c>
      <c r="H31" s="145"/>
      <c r="I31" s="146"/>
      <c r="J31" s="32"/>
    </row>
    <row r="32" spans="1:10" ht="14.25" customHeight="1">
      <c r="A32" s="147"/>
      <c r="B32" s="148"/>
      <c r="C32" s="149"/>
      <c r="D32" s="147"/>
      <c r="E32" s="148"/>
      <c r="F32" s="149"/>
      <c r="G32" s="147"/>
      <c r="H32" s="148"/>
      <c r="I32" s="149"/>
      <c r="J32" s="32"/>
    </row>
    <row r="33" spans="1:10" ht="14.25" customHeight="1">
      <c r="A33" s="147"/>
      <c r="B33" s="148"/>
      <c r="C33" s="149"/>
      <c r="D33" s="147"/>
      <c r="E33" s="148"/>
      <c r="F33" s="149"/>
      <c r="G33" s="147"/>
      <c r="H33" s="148"/>
      <c r="I33" s="149"/>
      <c r="J33" s="32"/>
    </row>
    <row r="34" spans="1:10" ht="14.25" customHeight="1">
      <c r="A34" s="147"/>
      <c r="B34" s="148"/>
      <c r="C34" s="149"/>
      <c r="D34" s="147"/>
      <c r="E34" s="148"/>
      <c r="F34" s="149"/>
      <c r="G34" s="147"/>
      <c r="H34" s="148"/>
      <c r="I34" s="149"/>
      <c r="J34" s="32"/>
    </row>
    <row r="35" spans="1:10" ht="14.25" customHeight="1">
      <c r="A35" s="150" t="s">
        <v>1232</v>
      </c>
      <c r="B35" s="151"/>
      <c r="C35" s="152"/>
      <c r="D35" s="150" t="s">
        <v>1232</v>
      </c>
      <c r="E35" s="151"/>
      <c r="F35" s="152"/>
      <c r="G35" s="150" t="s">
        <v>1232</v>
      </c>
      <c r="H35" s="151"/>
      <c r="I35" s="152"/>
      <c r="J35" s="32"/>
    </row>
    <row r="36" spans="1:9" ht="11.25" customHeight="1">
      <c r="A36" s="56" t="s">
        <v>280</v>
      </c>
      <c r="B36" s="58"/>
      <c r="C36" s="58"/>
      <c r="D36" s="58"/>
      <c r="E36" s="58"/>
      <c r="F36" s="58"/>
      <c r="G36" s="58"/>
      <c r="H36" s="58"/>
      <c r="I36" s="58"/>
    </row>
    <row r="37" spans="1:9" ht="12.75">
      <c r="A37" s="91"/>
      <c r="B37" s="83"/>
      <c r="C37" s="83"/>
      <c r="D37" s="83"/>
      <c r="E37" s="83"/>
      <c r="F37" s="83"/>
      <c r="G37" s="83"/>
      <c r="H37" s="83"/>
      <c r="I37" s="83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77"/>
      <c r="B1" s="51"/>
      <c r="C1" s="127" t="s">
        <v>1273</v>
      </c>
      <c r="D1" s="79"/>
      <c r="E1" s="79"/>
      <c r="F1" s="79"/>
      <c r="G1" s="79"/>
      <c r="H1" s="79"/>
      <c r="I1" s="79"/>
    </row>
    <row r="2" spans="1:10" ht="12.75">
      <c r="A2" s="80" t="s">
        <v>1</v>
      </c>
      <c r="B2" s="81"/>
      <c r="C2" s="84" t="str">
        <f>'Stavební rozpočet'!C2</f>
        <v>Přístavba polytechnické dílny - ZŠ Grafická</v>
      </c>
      <c r="D2" s="114"/>
      <c r="E2" s="87" t="s">
        <v>904</v>
      </c>
      <c r="F2" s="87" t="str">
        <f>'Stavební rozpočet'!I2</f>
        <v>Atelier H3T architekti, s.r.o.</v>
      </c>
      <c r="G2" s="81"/>
      <c r="H2" s="87" t="s">
        <v>1260</v>
      </c>
      <c r="I2" s="128" t="s">
        <v>1264</v>
      </c>
      <c r="J2" s="31"/>
    </row>
    <row r="3" spans="1:10" ht="12.75">
      <c r="A3" s="82"/>
      <c r="B3" s="83"/>
      <c r="C3" s="85"/>
      <c r="D3" s="85"/>
      <c r="E3" s="83"/>
      <c r="F3" s="83"/>
      <c r="G3" s="83"/>
      <c r="H3" s="83"/>
      <c r="I3" s="89"/>
      <c r="J3" s="31"/>
    </row>
    <row r="4" spans="1:10" ht="12.75">
      <c r="A4" s="90" t="s">
        <v>2</v>
      </c>
      <c r="B4" s="83"/>
      <c r="C4" s="91" t="str">
        <f>'Stavební rozpočet'!C4</f>
        <v>Dílna</v>
      </c>
      <c r="D4" s="83"/>
      <c r="E4" s="91" t="s">
        <v>905</v>
      </c>
      <c r="F4" s="91" t="str">
        <f>'Stavební rozpočet'!I4</f>
        <v>Atelier H3T architekti,s.r.o., Nám.Česk.povstání 2</v>
      </c>
      <c r="G4" s="83"/>
      <c r="H4" s="91" t="s">
        <v>1260</v>
      </c>
      <c r="I4" s="129" t="s">
        <v>1264</v>
      </c>
      <c r="J4" s="31"/>
    </row>
    <row r="5" spans="1:10" ht="12.75">
      <c r="A5" s="82"/>
      <c r="B5" s="83"/>
      <c r="C5" s="83"/>
      <c r="D5" s="83"/>
      <c r="E5" s="83"/>
      <c r="F5" s="83"/>
      <c r="G5" s="83"/>
      <c r="H5" s="83"/>
      <c r="I5" s="89"/>
      <c r="J5" s="31"/>
    </row>
    <row r="6" spans="1:10" ht="12.75">
      <c r="A6" s="90" t="s">
        <v>3</v>
      </c>
      <c r="B6" s="83"/>
      <c r="C6" s="91" t="str">
        <f>'Stavební rozpočet'!C6</f>
        <v>ZŠ Grafická č. 1060/13, Praha 5 - Smíchov</v>
      </c>
      <c r="D6" s="83"/>
      <c r="E6" s="91" t="s">
        <v>906</v>
      </c>
      <c r="F6" s="91" t="str">
        <f>'Stavební rozpočet'!I6</f>
        <v> </v>
      </c>
      <c r="G6" s="83"/>
      <c r="H6" s="91" t="s">
        <v>1260</v>
      </c>
      <c r="I6" s="129"/>
      <c r="J6" s="31"/>
    </row>
    <row r="7" spans="1:10" ht="12.75">
      <c r="A7" s="82"/>
      <c r="B7" s="83"/>
      <c r="C7" s="83"/>
      <c r="D7" s="83"/>
      <c r="E7" s="83"/>
      <c r="F7" s="83"/>
      <c r="G7" s="83"/>
      <c r="H7" s="83"/>
      <c r="I7" s="89"/>
      <c r="J7" s="31"/>
    </row>
    <row r="8" spans="1:10" ht="12.75">
      <c r="A8" s="90" t="s">
        <v>887</v>
      </c>
      <c r="B8" s="83"/>
      <c r="C8" s="91" t="str">
        <f>'Stavební rozpočet'!F4</f>
        <v>04.04.2019</v>
      </c>
      <c r="D8" s="83"/>
      <c r="E8" s="91" t="s">
        <v>888</v>
      </c>
      <c r="F8" s="91" t="str">
        <f>'Stavební rozpočet'!F6</f>
        <v> </v>
      </c>
      <c r="G8" s="83"/>
      <c r="H8" s="92" t="s">
        <v>1261</v>
      </c>
      <c r="I8" s="129" t="s">
        <v>279</v>
      </c>
      <c r="J8" s="31"/>
    </row>
    <row r="9" spans="1:10" ht="12.75">
      <c r="A9" s="82"/>
      <c r="B9" s="83"/>
      <c r="C9" s="83"/>
      <c r="D9" s="83"/>
      <c r="E9" s="83"/>
      <c r="F9" s="83"/>
      <c r="G9" s="83"/>
      <c r="H9" s="83"/>
      <c r="I9" s="89"/>
      <c r="J9" s="31"/>
    </row>
    <row r="10" spans="1:10" ht="12.75">
      <c r="A10" s="90" t="s">
        <v>4</v>
      </c>
      <c r="B10" s="83"/>
      <c r="C10" s="91" t="str">
        <f>'Stavební rozpočet'!C8</f>
        <v> </v>
      </c>
      <c r="D10" s="83"/>
      <c r="E10" s="91" t="s">
        <v>907</v>
      </c>
      <c r="F10" s="91" t="str">
        <f>'Stavební rozpočet'!I8</f>
        <v>Ing. Petr FILIP</v>
      </c>
      <c r="G10" s="83"/>
      <c r="H10" s="92" t="s">
        <v>1262</v>
      </c>
      <c r="I10" s="132" t="str">
        <f>'Stavební rozpočet'!F8</f>
        <v>21.09.2020</v>
      </c>
      <c r="J10" s="31"/>
    </row>
    <row r="11" spans="1:10" ht="12.75">
      <c r="A11" s="130"/>
      <c r="B11" s="131"/>
      <c r="C11" s="131"/>
      <c r="D11" s="131"/>
      <c r="E11" s="131"/>
      <c r="F11" s="131"/>
      <c r="G11" s="131"/>
      <c r="H11" s="131"/>
      <c r="I11" s="133"/>
      <c r="J11" s="31"/>
    </row>
    <row r="12" spans="1:9" ht="12.75">
      <c r="A12" s="8"/>
      <c r="B12" s="8"/>
      <c r="C12" s="8"/>
      <c r="D12" s="8"/>
      <c r="E12" s="8"/>
      <c r="F12" s="8"/>
      <c r="G12" s="8"/>
      <c r="H12" s="8"/>
      <c r="I12" s="8"/>
    </row>
    <row r="13" spans="1:9" ht="15" customHeight="1">
      <c r="A13" s="153" t="s">
        <v>1265</v>
      </c>
      <c r="B13" s="154"/>
      <c r="C13" s="154"/>
      <c r="D13" s="154"/>
      <c r="E13" s="154"/>
      <c r="F13" s="68"/>
      <c r="G13" s="68"/>
      <c r="H13" s="68"/>
      <c r="I13" s="68"/>
    </row>
    <row r="14" spans="1:10" ht="12.75">
      <c r="A14" s="155" t="s">
        <v>1266</v>
      </c>
      <c r="B14" s="156"/>
      <c r="C14" s="156"/>
      <c r="D14" s="156"/>
      <c r="E14" s="157"/>
      <c r="F14" s="69" t="s">
        <v>1274</v>
      </c>
      <c r="G14" s="69" t="s">
        <v>1275</v>
      </c>
      <c r="H14" s="69" t="s">
        <v>1276</v>
      </c>
      <c r="I14" s="69" t="s">
        <v>1274</v>
      </c>
      <c r="J14" s="32"/>
    </row>
    <row r="15" spans="1:10" ht="12.75">
      <c r="A15" s="158" t="s">
        <v>1237</v>
      </c>
      <c r="B15" s="159"/>
      <c r="C15" s="159"/>
      <c r="D15" s="159"/>
      <c r="E15" s="160"/>
      <c r="F15" s="70">
        <v>0</v>
      </c>
      <c r="G15" s="73"/>
      <c r="H15" s="73"/>
      <c r="I15" s="70">
        <f>F15</f>
        <v>0</v>
      </c>
      <c r="J15" s="31"/>
    </row>
    <row r="16" spans="1:10" ht="12.75">
      <c r="A16" s="158" t="s">
        <v>1238</v>
      </c>
      <c r="B16" s="159"/>
      <c r="C16" s="159"/>
      <c r="D16" s="159"/>
      <c r="E16" s="160"/>
      <c r="F16" s="70">
        <v>0</v>
      </c>
      <c r="G16" s="73"/>
      <c r="H16" s="73"/>
      <c r="I16" s="70">
        <f>F16</f>
        <v>0</v>
      </c>
      <c r="J16" s="31"/>
    </row>
    <row r="17" spans="1:10" ht="12.75">
      <c r="A17" s="161" t="s">
        <v>1239</v>
      </c>
      <c r="B17" s="162"/>
      <c r="C17" s="162"/>
      <c r="D17" s="162"/>
      <c r="E17" s="163"/>
      <c r="F17" s="71">
        <v>0</v>
      </c>
      <c r="G17" s="74"/>
      <c r="H17" s="74"/>
      <c r="I17" s="71">
        <f>F17</f>
        <v>0</v>
      </c>
      <c r="J17" s="31"/>
    </row>
    <row r="18" spans="1:10" ht="12.75">
      <c r="A18" s="164" t="s">
        <v>1267</v>
      </c>
      <c r="B18" s="165"/>
      <c r="C18" s="165"/>
      <c r="D18" s="165"/>
      <c r="E18" s="166"/>
      <c r="F18" s="72"/>
      <c r="G18" s="75"/>
      <c r="H18" s="75"/>
      <c r="I18" s="76">
        <f>SUM(I15:I17)</f>
        <v>0</v>
      </c>
      <c r="J18" s="32"/>
    </row>
    <row r="19" spans="1:9" ht="12.75">
      <c r="A19" s="67"/>
      <c r="B19" s="67"/>
      <c r="C19" s="67"/>
      <c r="D19" s="67"/>
      <c r="E19" s="67"/>
      <c r="F19" s="67"/>
      <c r="G19" s="67"/>
      <c r="H19" s="67"/>
      <c r="I19" s="67"/>
    </row>
    <row r="20" spans="1:10" ht="12.75">
      <c r="A20" s="155" t="s">
        <v>1263</v>
      </c>
      <c r="B20" s="156"/>
      <c r="C20" s="156"/>
      <c r="D20" s="156"/>
      <c r="E20" s="157"/>
      <c r="F20" s="69" t="s">
        <v>1274</v>
      </c>
      <c r="G20" s="69" t="s">
        <v>1275</v>
      </c>
      <c r="H20" s="69" t="s">
        <v>1276</v>
      </c>
      <c r="I20" s="69" t="s">
        <v>1274</v>
      </c>
      <c r="J20" s="32"/>
    </row>
    <row r="21" spans="1:10" ht="12.75">
      <c r="A21" s="158" t="s">
        <v>1247</v>
      </c>
      <c r="B21" s="159"/>
      <c r="C21" s="159"/>
      <c r="D21" s="159"/>
      <c r="E21" s="160"/>
      <c r="F21" s="70">
        <v>0</v>
      </c>
      <c r="G21" s="73"/>
      <c r="H21" s="73"/>
      <c r="I21" s="70">
        <f aca="true" t="shared" si="0" ref="I21:I26">F21</f>
        <v>0</v>
      </c>
      <c r="J21" s="31"/>
    </row>
    <row r="22" spans="1:10" ht="12.75">
      <c r="A22" s="158" t="s">
        <v>1248</v>
      </c>
      <c r="B22" s="159"/>
      <c r="C22" s="159"/>
      <c r="D22" s="159"/>
      <c r="E22" s="160"/>
      <c r="F22" s="70">
        <v>0</v>
      </c>
      <c r="G22" s="73"/>
      <c r="H22" s="73"/>
      <c r="I22" s="70">
        <f t="shared" si="0"/>
        <v>0</v>
      </c>
      <c r="J22" s="31"/>
    </row>
    <row r="23" spans="1:10" ht="12.75">
      <c r="A23" s="158" t="s">
        <v>1249</v>
      </c>
      <c r="B23" s="159"/>
      <c r="C23" s="159"/>
      <c r="D23" s="159"/>
      <c r="E23" s="160"/>
      <c r="F23" s="70">
        <v>0</v>
      </c>
      <c r="G23" s="73"/>
      <c r="H23" s="73"/>
      <c r="I23" s="70">
        <f t="shared" si="0"/>
        <v>0</v>
      </c>
      <c r="J23" s="31"/>
    </row>
    <row r="24" spans="1:10" ht="12.75">
      <c r="A24" s="158" t="s">
        <v>1250</v>
      </c>
      <c r="B24" s="159"/>
      <c r="C24" s="159"/>
      <c r="D24" s="159"/>
      <c r="E24" s="160"/>
      <c r="F24" s="70">
        <v>0</v>
      </c>
      <c r="G24" s="73"/>
      <c r="H24" s="73"/>
      <c r="I24" s="70">
        <f t="shared" si="0"/>
        <v>0</v>
      </c>
      <c r="J24" s="31"/>
    </row>
    <row r="25" spans="1:10" ht="12.75">
      <c r="A25" s="158" t="s">
        <v>1251</v>
      </c>
      <c r="B25" s="159"/>
      <c r="C25" s="159"/>
      <c r="D25" s="159"/>
      <c r="E25" s="160"/>
      <c r="F25" s="70">
        <v>0</v>
      </c>
      <c r="G25" s="73"/>
      <c r="H25" s="73"/>
      <c r="I25" s="70">
        <f t="shared" si="0"/>
        <v>0</v>
      </c>
      <c r="J25" s="31"/>
    </row>
    <row r="26" spans="1:10" ht="12.75">
      <c r="A26" s="161" t="s">
        <v>1252</v>
      </c>
      <c r="B26" s="162"/>
      <c r="C26" s="162"/>
      <c r="D26" s="162"/>
      <c r="E26" s="163"/>
      <c r="F26" s="71">
        <v>0</v>
      </c>
      <c r="G26" s="74"/>
      <c r="H26" s="74"/>
      <c r="I26" s="71">
        <f t="shared" si="0"/>
        <v>0</v>
      </c>
      <c r="J26" s="31"/>
    </row>
    <row r="27" spans="1:10" ht="12.75">
      <c r="A27" s="164" t="s">
        <v>1268</v>
      </c>
      <c r="B27" s="165"/>
      <c r="C27" s="165"/>
      <c r="D27" s="165"/>
      <c r="E27" s="166"/>
      <c r="F27" s="72"/>
      <c r="G27" s="76">
        <v>5</v>
      </c>
      <c r="H27" s="76">
        <f>'Krycí list rozpočtu'!C22</f>
        <v>0</v>
      </c>
      <c r="I27" s="76">
        <f>ROUND((G27/100)*H27,2)</f>
        <v>0</v>
      </c>
      <c r="J27" s="32"/>
    </row>
    <row r="28" spans="1:9" ht="12.75">
      <c r="A28" s="67"/>
      <c r="B28" s="67"/>
      <c r="C28" s="67"/>
      <c r="D28" s="67"/>
      <c r="E28" s="67"/>
      <c r="F28" s="67"/>
      <c r="G28" s="67"/>
      <c r="H28" s="67"/>
      <c r="I28" s="67"/>
    </row>
    <row r="29" spans="1:10" ht="15" customHeight="1">
      <c r="A29" s="167" t="s">
        <v>1269</v>
      </c>
      <c r="B29" s="168"/>
      <c r="C29" s="168"/>
      <c r="D29" s="168"/>
      <c r="E29" s="169"/>
      <c r="F29" s="170">
        <f>I18+I27</f>
        <v>0</v>
      </c>
      <c r="G29" s="171"/>
      <c r="H29" s="171"/>
      <c r="I29" s="172"/>
      <c r="J29" s="32"/>
    </row>
    <row r="30" spans="1:9" ht="12.75">
      <c r="A30" s="58"/>
      <c r="B30" s="58"/>
      <c r="C30" s="58"/>
      <c r="D30" s="58"/>
      <c r="E30" s="58"/>
      <c r="F30" s="58"/>
      <c r="G30" s="58"/>
      <c r="H30" s="58"/>
      <c r="I30" s="58"/>
    </row>
    <row r="33" spans="1:9" ht="15" customHeight="1">
      <c r="A33" s="153" t="s">
        <v>1270</v>
      </c>
      <c r="B33" s="154"/>
      <c r="C33" s="154"/>
      <c r="D33" s="154"/>
      <c r="E33" s="154"/>
      <c r="F33" s="68"/>
      <c r="G33" s="68"/>
      <c r="H33" s="68"/>
      <c r="I33" s="68"/>
    </row>
    <row r="34" spans="1:10" ht="12.75">
      <c r="A34" s="155" t="s">
        <v>1271</v>
      </c>
      <c r="B34" s="156"/>
      <c r="C34" s="156"/>
      <c r="D34" s="156"/>
      <c r="E34" s="157"/>
      <c r="F34" s="69" t="s">
        <v>1274</v>
      </c>
      <c r="G34" s="69" t="s">
        <v>1275</v>
      </c>
      <c r="H34" s="69" t="s">
        <v>1276</v>
      </c>
      <c r="I34" s="69" t="s">
        <v>1274</v>
      </c>
      <c r="J34" s="32"/>
    </row>
    <row r="35" spans="1:10" ht="12.75">
      <c r="A35" s="161"/>
      <c r="B35" s="162"/>
      <c r="C35" s="162"/>
      <c r="D35" s="162"/>
      <c r="E35" s="163"/>
      <c r="F35" s="71">
        <v>0</v>
      </c>
      <c r="G35" s="74"/>
      <c r="H35" s="74"/>
      <c r="I35" s="71">
        <f>F35</f>
        <v>0</v>
      </c>
      <c r="J35" s="31"/>
    </row>
    <row r="36" spans="1:10" ht="12.75">
      <c r="A36" s="164" t="s">
        <v>1272</v>
      </c>
      <c r="B36" s="165"/>
      <c r="C36" s="165"/>
      <c r="D36" s="165"/>
      <c r="E36" s="166"/>
      <c r="F36" s="72"/>
      <c r="G36" s="75"/>
      <c r="H36" s="75"/>
      <c r="I36" s="76">
        <f>SUM(I35:I35)</f>
        <v>0</v>
      </c>
      <c r="J36" s="32"/>
    </row>
    <row r="37" spans="1:9" ht="12.75">
      <c r="A37" s="58"/>
      <c r="B37" s="58"/>
      <c r="C37" s="58"/>
      <c r="D37" s="58"/>
      <c r="E37" s="58"/>
      <c r="F37" s="58"/>
      <c r="G37" s="58"/>
      <c r="H37" s="58"/>
      <c r="I37" s="58"/>
    </row>
  </sheetData>
  <sheetProtection/>
  <mergeCells count="51">
    <mergeCell ref="A35:E35"/>
    <mergeCell ref="A36:E36"/>
    <mergeCell ref="A26:E26"/>
    <mergeCell ref="A27:E27"/>
    <mergeCell ref="A29:E29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13:E13"/>
    <mergeCell ref="A14:E14"/>
    <mergeCell ref="A15:E15"/>
    <mergeCell ref="A16:E16"/>
    <mergeCell ref="A17:E17"/>
    <mergeCell ref="A18:E18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</dc:creator>
  <cp:keywords/>
  <dc:description/>
  <cp:lastModifiedBy>Hilasová Veronika</cp:lastModifiedBy>
  <cp:lastPrinted>2021-05-27T10:47:35Z</cp:lastPrinted>
  <dcterms:created xsi:type="dcterms:W3CDTF">2020-09-24T13:43:25Z</dcterms:created>
  <dcterms:modified xsi:type="dcterms:W3CDTF">2021-05-27T10:48:56Z</dcterms:modified>
  <cp:category/>
  <cp:version/>
  <cp:contentType/>
  <cp:contentStatus/>
</cp:coreProperties>
</file>