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14940"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NÁKLADY'!$H$205</definedName>
    <definedName name="Cena_2a">'OBJEKT_CELKOVÉ NÁKLADY'!$H$228</definedName>
    <definedName name="Cena_2b">'OBJEKT_CELKOVÉ NÁKLADY'!$H$239</definedName>
    <definedName name="Cena_2c">'OBJEKT_CELKOVÉ NÁKLADY'!$H$331</definedName>
    <definedName name="Cena_2d">'OBJEKT_CELKOVÉ NÁKLADY'!$H$451</definedName>
    <definedName name="Cena_2e">'OBJEKT_CELKOVÉ NÁKLADY'!$H$467</definedName>
    <definedName name="Cena_2f">'OBJEKT_CELKOVÉ NÁKLADY'!#REF!</definedName>
    <definedName name="Cena_2g">'OBJEKT_CELKOVÉ NÁKLADY'!$H$571</definedName>
    <definedName name="Cena_2h">'OBJEKT_CELKOVÉ NÁKLADY'!#REF!</definedName>
    <definedName name="Cena_2i">'OBJEKT_CELKOVÉ NÁKLADY'!$H$518</definedName>
    <definedName name="Cena_2j">'OBJEKT_CELKOVÉ NÁKLADY'!#REF!</definedName>
    <definedName name="Cena_2k">'OBJEKT_CELKOVÉ NÁKLADY'!#REF!</definedName>
    <definedName name="Cena_2l">'OBJEKT_CELKOVÉ NÁKLADY'!#REF!</definedName>
    <definedName name="Cena_2m">'OBJEKT_CELKOVÉ NÁKLADY'!$H$424</definedName>
    <definedName name="Cena_3a">'OBJEKT_CELKOVÉ NÁKLADY'!$H$571</definedName>
    <definedName name="Cena_3b">'OBJEKT_CELKOVÉ NÁKLADY'!#REF!</definedName>
    <definedName name="Cena_3c">'OBJEKT_CELKOVÉ NÁKLADY'!$H$518</definedName>
    <definedName name="Cena_3d">'OBJEKT_CELKOVÉ NÁKLADY'!#REF!</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NÁKLADY'!#REF!</definedName>
    <definedName name="Cena_doplňky_dodavatele">'OBJEKT_CELKOVÉ NÁKLADY'!#REF!</definedName>
    <definedName name="Dokoncovaci_prace">'OBJEKT_CELKOVÉ NÁKLADY'!#REF!</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NÁKLADY'!$D$147</definedName>
    <definedName name="Kapitola_2">'OBJEKT_CELKOVÉ NÁKLADY'!$D$207</definedName>
    <definedName name="Kapitola_2a">'OBJEKT_CELKOVÉ NÁKLADY'!$D$208</definedName>
    <definedName name="Kapitola_2b">'OBJEKT_CELKOVÉ NÁKLADY'!$D$230</definedName>
    <definedName name="Kapitola_2c">'OBJEKT_CELKOVÉ NÁKLADY'!$D$241</definedName>
    <definedName name="Kapitola_2d">'OBJEKT_CELKOVÉ NÁKLADY'!#REF!</definedName>
    <definedName name="Kapitola_2e">'OBJEKT_CELKOVÉ NÁKLADY'!$D$453</definedName>
    <definedName name="Kapitola_2f">'OBJEKT_CELKOVÉ NÁKLADY'!$D$471</definedName>
    <definedName name="Kapitola_2g">'OBJEKT_CELKOVÉ NÁKLADY'!$D$567</definedName>
    <definedName name="Kapitola_2h">'OBJEKT_CELKOVÉ NÁKLADY'!$D$573</definedName>
    <definedName name="Kapitola_2i">'OBJEKT_CELKOVÉ NÁKLADY'!#REF!</definedName>
    <definedName name="Kapitola_2j">'OBJEKT_CELKOVÉ NÁKLADY'!$D$333</definedName>
    <definedName name="Kapitola_2k">'OBJEKT_CELKOVÉ NÁKLADY'!$D$369</definedName>
    <definedName name="Kapitola_2l">'OBJEKT_CELKOVÉ NÁKLADY'!#REF!</definedName>
    <definedName name="Kapitola_2m">'OBJEKT_CELKOVÉ NÁKLADY'!#REF!</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NÁKLADY'!$3:$3</definedName>
    <definedName name="_xlnm.Print_Area" localSheetId="1">'ESA_ESI'!$A$1:$H$82</definedName>
    <definedName name="_xlnm.Print_Area" localSheetId="0">'OBJEKT_CELKOVÉ NÁKLADY'!$A$1:$I$579</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NÁKLADY'!$D$15</definedName>
    <definedName name="Rekapitulace_2">'OBJEKT_CELKOVÉ NÁKLADY'!$D$16</definedName>
    <definedName name="Rekapitulace_2a">'OBJEKT_CELKOVÉ NÁKLADY'!$D$17</definedName>
    <definedName name="Rekapitulace_2b">'OBJEKT_CELKOVÉ NÁKLADY'!$D$18</definedName>
    <definedName name="Rekapitulace_2c">'OBJEKT_CELKOVÉ NÁKLADY'!$D$19</definedName>
    <definedName name="Rekapitulace_2d">'OBJEKT_CELKOVÉ NÁKLADY'!$D$26</definedName>
    <definedName name="Rekapitulace_2e">'OBJEKT_CELKOVÉ NÁKLADY'!$D$27</definedName>
    <definedName name="Rekapitulace_2f">'OBJEKT_CELKOVÉ NÁKLADY'!$D$28</definedName>
    <definedName name="Rekapitulace_2g">'OBJEKT_CELKOVÉ NÁKLADY'!$D$32</definedName>
    <definedName name="Rekapitulace_2h">'OBJEKT_CELKOVÉ NÁKLADY'!$D$33</definedName>
    <definedName name="Rekapitulace_2i">'OBJEKT_CELKOVÉ NÁKLADY'!$D$29</definedName>
    <definedName name="Rekapitulace_2j">'OBJEKT_CELKOVÉ NÁKLADY'!$D$20</definedName>
    <definedName name="Rekapitulace_2k">'OBJEKT_CELKOVÉ NÁKLADY'!$D$21</definedName>
    <definedName name="Rekapitulace_2l">'OBJEKT_CELKOVÉ NÁKLADY'!$D$22</definedName>
    <definedName name="Rekapitulace_2m">'OBJEKT_CELKOVÉ NÁKLADY'!$D$23</definedName>
    <definedName name="Rekapitulace_3">'OBJEKT_CELKOVÉ NÁKLADY'!#REF!</definedName>
    <definedName name="Rekapitulace_3a">'OBJEKT_CELKOVÉ NÁKLADY'!$D$33</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NÁKLADY'!$D$34</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<sst xmlns="http://schemas.openxmlformats.org/spreadsheetml/2006/main" count="1723" uniqueCount="903">
  <si>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</si>
  <si>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Vedlejší rozpočtové náklady (VRN)</t>
  </si>
  <si>
    <t>Rozdělení podle investic a oprav (bez VRN a DPH)</t>
  </si>
  <si>
    <t>Rozdělení podle investic a oprav vč. VRN bez DPH</t>
  </si>
  <si>
    <t>Rozdělení VRN podle investic a oprav</t>
  </si>
  <si>
    <t>781497121R00_P</t>
  </si>
  <si>
    <t>https://www.dek.cz/produkty/detail/1640140505-weber-akryzol-hydroizolacni-hmota-15kg?tab_id=popis</t>
  </si>
  <si>
    <t>585811012_P</t>
  </si>
  <si>
    <t>23152419_P</t>
  </si>
  <si>
    <t>342255024RT1</t>
  </si>
  <si>
    <t>611640291_P</t>
  </si>
  <si>
    <t>61187191_P2</t>
  </si>
  <si>
    <t>61193415_P</t>
  </si>
  <si>
    <t>783682111R00_P</t>
  </si>
  <si>
    <t>783682141R00_P</t>
  </si>
  <si>
    <t>Demontáž van včetně vybourání obezdezdívky</t>
  </si>
  <si>
    <t>725290020RA0</t>
  </si>
  <si>
    <t>722181214RT8_P</t>
  </si>
  <si>
    <t>722181213RT8_P</t>
  </si>
  <si>
    <t>722280106R00</t>
  </si>
  <si>
    <t>55162476.A_P</t>
  </si>
  <si>
    <t>55421022.A_P</t>
  </si>
  <si>
    <t>725849200R00</t>
  </si>
  <si>
    <t>725014173R00_P</t>
  </si>
  <si>
    <t>725860186RT1_P</t>
  </si>
  <si>
    <t>725860184RT1_P</t>
  </si>
  <si>
    <t>601011132R00_P</t>
  </si>
  <si>
    <t>https://www.alza.cz/gorenje-nrk6202ac4-d6398148.htm</t>
  </si>
  <si>
    <t>53925121_P</t>
  </si>
  <si>
    <t>Myčka nádobí pro zabudování, parametry dle PD, ref. výrobek Ikea Hygienisk 204.756.10</t>
  </si>
  <si>
    <t>https://www.ikea.com/cz/cs/p/hygienisk-vestavna-mycka-ikea-500-20475610/?utm_source=google&amp;utm_medium=surfaces&amp;utm_campaign=shopping_feed&amp;utm_content=free_google_shopping_clicks_HomeAppliances&amp;gclid=EAIaIQobChMI4PrI0seb8AIVRud3Ch3BjQylEAQYASABEgK4H_D_BwE</t>
  </si>
  <si>
    <t>602011112RT5_P</t>
  </si>
  <si>
    <t>Omítka jádrová ze suché maltové změsi, ručně (společné prostory)</t>
  </si>
  <si>
    <t>Sádrový štuk, ze suché změsi, ručně (společné prostory)</t>
  </si>
  <si>
    <t>frézování drážky na  stropech</t>
  </si>
  <si>
    <t>přrážka za podružný materiál</t>
  </si>
  <si>
    <t>vestavná zásuvka  v části slaboproudu</t>
  </si>
  <si>
    <t>725810402R00</t>
  </si>
  <si>
    <t>220711301R00_P</t>
  </si>
  <si>
    <t>Autonomní hlásič kouře, vč. montáže</t>
  </si>
  <si>
    <t xml:space="preserve">Provedení revize plynovodu </t>
  </si>
  <si>
    <t>723190909R00_P</t>
  </si>
  <si>
    <t>220261662R00_P</t>
  </si>
  <si>
    <t>Přemístění vodoměru a uzávěru vody a úpravy potrubí</t>
  </si>
  <si>
    <t>968072455R00</t>
  </si>
  <si>
    <t>Vybourání kovových dveřních zárubní pl. do 2 m2</t>
  </si>
  <si>
    <t>Demontáž plynového sporáku</t>
  </si>
  <si>
    <t>416021121R00_P</t>
  </si>
  <si>
    <t>416021123R00_P</t>
  </si>
  <si>
    <t>podřezání dveří</t>
  </si>
  <si>
    <t>549146430_P</t>
  </si>
  <si>
    <t>Základní nátěr ocelového nosníku</t>
  </si>
  <si>
    <t>721176103R00_P</t>
  </si>
  <si>
    <t>721176105R00_P</t>
  </si>
  <si>
    <t>721290111R00</t>
  </si>
  <si>
    <t>64213637_P1</t>
  </si>
  <si>
    <t>64213637_P2</t>
  </si>
  <si>
    <t>725849201R00</t>
  </si>
  <si>
    <t>Montáž baterií sprchových, pevná výška</t>
  </si>
  <si>
    <t>725610810R00</t>
  </si>
  <si>
    <t>Demontáž umyvadla</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</si>
  <si>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</si>
  <si>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</si>
  <si>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734223223R00_P1</t>
  </si>
  <si>
    <t>722202213R00_P</t>
  </si>
  <si>
    <t>968062245R00</t>
  </si>
  <si>
    <t>DU3c-M</t>
  </si>
  <si>
    <t>DU3c-D</t>
  </si>
  <si>
    <t>Hydroizolační koutová těsnící páska vč. rohových tvarovek (svislé stěny), dle specifikace v PD</t>
  </si>
  <si>
    <t>D1-D</t>
  </si>
  <si>
    <t>D2-D</t>
  </si>
  <si>
    <t>775511000R00</t>
  </si>
  <si>
    <t>Položení vlysových podlah do lepidla</t>
  </si>
  <si>
    <t>https://www.empiri.cz/dubove-parkety-vlysy-ii-trida-mensi-format/</t>
  </si>
  <si>
    <t>Vlys podlahový tl.22mm, 400/60mm, specifikace dle PD, vč. prořezu 10%</t>
  </si>
  <si>
    <t>https://www.podlahysevcik.cz/parkety-1-2-trida-detail-173.html</t>
  </si>
  <si>
    <t>775592004R00</t>
  </si>
  <si>
    <t>DP1,2</t>
  </si>
  <si>
    <t>Broušení dřevěných podlah jemné zr.100-120</t>
  </si>
  <si>
    <t>Nátěr olejový speciální dřevěných podlah 2x dle specifikace v PD, 2x olej.</t>
  </si>
  <si>
    <t>MA1</t>
  </si>
  <si>
    <r>
      <t>Montáž van ocel. a plastových s uzávěr.</t>
    </r>
    <r>
      <rPr>
        <sz val="10"/>
        <color indexed="10"/>
        <rFont val="Arial"/>
        <family val="2"/>
      </rPr>
      <t xml:space="preserve"> </t>
    </r>
    <r>
      <rPr>
        <sz val="10"/>
        <rFont val="Arial"/>
        <family val="2"/>
      </rPr>
      <t>(vč. napojení na sifon)</t>
    </r>
  </si>
  <si>
    <t>429851122_P1</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</si>
  <si>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</si>
  <si>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</si>
  <si>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 xml:space="preserve">kód cenové soustavy RTS </t>
  </si>
  <si>
    <t>kód dle PD</t>
  </si>
  <si>
    <t>investice/opravy</t>
  </si>
  <si>
    <t>766662811R00</t>
  </si>
  <si>
    <t>Demontáž prahů dveří 1křídlových</t>
  </si>
  <si>
    <t>Demontáž garnyží vč. konzol a kotvících prvků</t>
  </si>
  <si>
    <t>978013191R00</t>
  </si>
  <si>
    <t>Otlučení omítek vnitřních stěn v rozsahu do 100 % v místech nově prováděných obkladů</t>
  </si>
  <si>
    <t>Bourání dlažeb keramických do tl.10 mm, nad 1 m2, sbíječka, dlaždice keramické</t>
  </si>
  <si>
    <t>965043331R00</t>
  </si>
  <si>
    <t>Flexibilní hadice dvouplášťová (hadice nerezová s ocelovým opletením a PVC plášťěm) pro bajonetové připojení (plyn) 1000 mm. ref. výrobek Ivar.RT-E</t>
  </si>
  <si>
    <t>https://www.ivarcs.cz/katalog/vytapeni-ivartrio/flexibilni-hadice-dvouplastova-pro-bajonetove-uzavery-na-plyn-p142032/</t>
  </si>
  <si>
    <t>723235511R00</t>
  </si>
  <si>
    <t>Uzávěr plynu 1/2" s bajonetovým připojením (kuchyně), ref. výrobek Ivar.R4-T</t>
  </si>
  <si>
    <t>https://www.ivarcs.cz/katalog/vytapeni-ivartrio/uzaver-plynu-s-bajonetovym-pripojenim-flexibilni-hadice-ivar-rt-e-p142025/</t>
  </si>
  <si>
    <t>V2a</t>
  </si>
  <si>
    <t>https://www.reviznidvirka.com/revizni-dvirka-neviditelna-pod-obklad-300x400</t>
  </si>
  <si>
    <t>V2b</t>
  </si>
  <si>
    <t>https://www.ventilatory-prodej.cz/servisni-a-revizni-dvirka/revizni-dvirka-pod-obklad/revizni-magneticka-dvirka-pod-obklad-250x330-mpcv10</t>
  </si>
  <si>
    <t>766825821R00_P</t>
  </si>
  <si>
    <t>Montáž SDK podhledu do vlhkého prostředí jednoduše opláštěného na samonosný rošt, vč dodávky nosných profilů a zatmelení návazností na zděné stěny (akrylátovým tmelem) dle PD</t>
  </si>
  <si>
    <t>Materiál + montáž slaboproud celkem</t>
  </si>
  <si>
    <t>Stavební úpravy bytové jednotky</t>
  </si>
  <si>
    <t>Izolace návleková  tl. stěny 20 mm vnitřní průměr 25 mm</t>
  </si>
  <si>
    <t>Izolace návleková  tl. stěny 13 mm vnitřní průměr 25 mm</t>
  </si>
  <si>
    <t>SOK2-D</t>
  </si>
  <si>
    <t>SOK2-M</t>
  </si>
  <si>
    <t>o</t>
  </si>
  <si>
    <t>Opravy</t>
  </si>
  <si>
    <t>Investice</t>
  </si>
  <si>
    <t>i</t>
  </si>
  <si>
    <t>Cena bez DPH</t>
  </si>
  <si>
    <t>Přípravné a bourací práce</t>
  </si>
  <si>
    <t xml:space="preserve">Tmelení akrylátovým tmelem </t>
  </si>
  <si>
    <t>Úpravy povrchů vnitřní (stěny, stropy)</t>
  </si>
  <si>
    <t>Hydroizolační koutová těsnící páska vč. rohových tvarovek (vororovné plochy)</t>
  </si>
  <si>
    <t>DU1</t>
  </si>
  <si>
    <t>DU2</t>
  </si>
  <si>
    <t>DU3-M</t>
  </si>
  <si>
    <t>DU3a-D</t>
  </si>
  <si>
    <t>DU3b-D</t>
  </si>
  <si>
    <t>DU3-D</t>
  </si>
  <si>
    <t xml:space="preserve"> </t>
  </si>
  <si>
    <t>V1</t>
  </si>
  <si>
    <t xml:space="preserve">Elektroinstalace - silnoproud </t>
  </si>
  <si>
    <t>Elektroinstalace - slaboproud</t>
  </si>
  <si>
    <t>svorka Bernard vč.Cu pásku</t>
  </si>
  <si>
    <t>krabicová rozvodka KR 68</t>
  </si>
  <si>
    <t>ukončení vodiče</t>
  </si>
  <si>
    <t>sekání průrazů</t>
  </si>
  <si>
    <t>sekání (vrtání) otvoru pro krabice</t>
  </si>
  <si>
    <t>demontážní práce</t>
  </si>
  <si>
    <t>proudový chránič 16/1N/0,03</t>
  </si>
  <si>
    <t>televizní zásuvka STA</t>
  </si>
  <si>
    <t>https://www.olsen-spa.cz/cs/zrcadla/928-2955-zrcadlo-s-led-osvetlenim-labe.html#/949-rozmery_zrcadel-600_1200_30_mm_v_s_x_h</t>
  </si>
  <si>
    <t>https://geberit-shop-triker.cz/kombifix-pro-zavesne-wc-109-cm-s-nadrzi-sigma-8-cm-predni-ovladani-676110790001/</t>
  </si>
  <si>
    <t>https://jika-shop.cz/mio-n-klozet-zavesny-53-cm-rimless-bez-oplachovaciho-kruhu-bily-665122071401/</t>
  </si>
  <si>
    <t>Deska EPS 100, tl.40mm, (500x1000mm)</t>
  </si>
  <si>
    <t>a) 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</si>
  <si>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b) náklady na prořez, odpad, zlomky, hmotnostní rozdíly atd., pokud nejsou uvedeny ve výpočtu nosných dodávek samostatně</t>
  </si>
  <si>
    <t>c) náklady vyvolané nepříznivými klimatickými vlivy během výstavby, na preventivní nebo dodatečná opatření a práce s nimi spojené, náklady na čerpání a odvod podzemních a srážkových vod.</t>
  </si>
  <si>
    <t>d) náklady na zakrývání (nebo jiné zajištění) konstrukcí a prací ostatních zhotovitelů nebo stávajících konstrukcí před znečištěním a poškozením a odstranění zakrytí, pokud není uvedeno samostatně</t>
  </si>
  <si>
    <t>28619236_P</t>
  </si>
  <si>
    <t>dozdívky = 0,8*2,05+0,58*2,05</t>
  </si>
  <si>
    <t>Montáž podlah keram.,režné hladké, včetně lepícího tmelu, spár. hmoty, 30/120cm</t>
  </si>
  <si>
    <t>614472450RT4</t>
  </si>
  <si>
    <t>Zapravení průzkumných sond (betonový potěr)</t>
  </si>
  <si>
    <t xml:space="preserve">f) v případě stavební činnosti vytvářející staveništní odpad jsou náklady na staveništní manipulaci se sutí vč.případného pytlování, její odvoz a ekologické uložení na skládku zahrnuty do ceny díla (pokud nejsou tyto činnosti uvedeny v samostatných položkách), stavební odpad se stává majetkem dodavatele stavebních prací a tento zabezpečuje jeho odstranění </t>
  </si>
  <si>
    <t>g) 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vč.nezbytných ochranných opatření daných předpisy BOZP</t>
  </si>
  <si>
    <t>h) náklady  na  skladování (vč. skládkovného), dovozné, balné, cla, zpětné  odevzdání obalů</t>
  </si>
  <si>
    <t>i) náklady na stavební přípomoce (pokud nejsou samostatně vykázány)</t>
  </si>
  <si>
    <t>j) náklady na opatření k zajištění BOZP (např. zřízení pomocných ochranných zábradlí u volných okrajů, používání úvazů, ochranných pomůcek, aj.)</t>
  </si>
  <si>
    <t>k) náklady na technologické přestávky</t>
  </si>
  <si>
    <t>l) náklady na splnění všech vyjádření a rozhodnutí dotčených orgánů státní správy (DOSS) a správců sítí a podmínek obsažených ve stevebním povolení, ohlášení</t>
  </si>
  <si>
    <t>m) náklady na zkoušky a atesty během výstavby, vč.nákladů na zkušební provoz a nákladů na média s tím spojená, revize (pokud nejsou samostatně uvedena), zaškolení údržby, provádění údržby a opravy během výstavby; náklady na předepsaná označení zařízení, štítky, schemata aj.</t>
  </si>
  <si>
    <t>n)  náklady na požadované záruky, pojištění a ostatní finanční náklady</t>
  </si>
  <si>
    <t>o) náklady na likvidaci škod, havárií , včetně vyrovnání se sousedy v případě škod vzniklých při provádění</t>
  </si>
  <si>
    <t>Stavební úpravy bytové jednotky č.6,Plzeňská 949/129, 150 00 Praha 5</t>
  </si>
  <si>
    <t>Umyvadlo keramické s otvorem pro baterii 609/442/159mm připevněné na stěnu šrouby vč. pilety clickclack- specifikace dle PD (ref. výrobek Grohe bau Ceramic)</t>
  </si>
  <si>
    <t>Umyvátko keramické s otvorem pro baterii 453/354/151 mm připevněné na stěnu šrouby vč. pilety clickclack- specifikace dle PD (ref. výrobek Grohe bau Ceramic)</t>
  </si>
  <si>
    <t>Vana, smaltovaná ocel, 1600/700mm, tloušťka oceli 1,5 mm - specifikace dle PD</t>
  </si>
  <si>
    <t>Montáž baterie umyv. a dřezové stojánkové</t>
  </si>
  <si>
    <t>Modul pro závěsné WC, 1090/450/80mm, pro zazdívání vč. ovládacích tlačítek - bílá, specifikace dle PD, ref. výrobek Geberit Kombifix Sigma8</t>
  </si>
  <si>
    <t>https://www.siko.cz/obdelnikova-vana-jika-riga-160x70-cm-smaltovana-ocel-h2340600000001/p/3406.0.000.000.1?gclid=CjwKCAjwz_WGBhA1EiwAUAxIcSrZkpkoYT1_s3CkzVBjvVLzOAyjiOXjrqpL9STAPUErKi-hQ1naGxoCeisQAvD_BwE</t>
  </si>
  <si>
    <t>https://www.siko.cz/vanovy-automat-jika-deep-cr-h2948150040001/p/9481.5.004.000.1</t>
  </si>
  <si>
    <t>https://www.siko.cz/sprchovy-set-grohe-new-tempesta-cosmopolitan-s-polickou-chrom-26083002/p/G26083002</t>
  </si>
  <si>
    <t>https://www.koupelny-cz.cz/grohe-odpadova-souprava-se-zaskakovacim-uzaviratelnym-krytem-chrom/d106613</t>
  </si>
  <si>
    <t>https://www.ikea.com/cz/cs/p/langudden-vestavny-drez-nerezavejici-ocel-s29157477/</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</si>
  <si>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V jedn. ceně potrubí jsou započteny i kolena a další potřebné tvarovky.</t>
  </si>
  <si>
    <t xml:space="preserve">Demontáž potrubí meděného </t>
  </si>
  <si>
    <t>Zhotovitel je povinen před podáním cenové nabídky:
- prohlédnout a zkontrolovat PD se soupisem prací a dodávek, 
- prohlédnout a prozkoumat staveniště a jeho okolí 
Před podáním nabídky si zhotovitel může vyžádat případné dotazy u zpracovatele dokumentace. Pozdější požadavky, plynoucí z neznalosti PD a poměrů na staveništi jsou nepřijatelné a nebude k nim přihlíženo jako k oprávněným.</t>
  </si>
  <si>
    <t xml:space="preserve">U kódu označených xxxxxxx_P došlo k úpravě rozsahu prací, popř. jednotkové ceny oproti typovému textu a jednotkové ceny  dle ceníku RTS.
V případě označení kódu R jedná se o položku, u  které nebylo možné provést zatřídění dle ceníku RTS. </t>
  </si>
  <si>
    <t xml:space="preserve">Vypracování spárořezů a jiné dílenské dokumentace </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</si>
  <si>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 Kompletační činnost a koordinace s případnými subdodavateli</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</si>
  <si>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 vyřízení případných záborů</t>
  </si>
  <si>
    <t>979082111R00_P</t>
  </si>
  <si>
    <t>Odvoz suti a vybour. hmot na skládku do 1 km kontejnerem 4t</t>
  </si>
  <si>
    <t>979990107R00_P</t>
  </si>
  <si>
    <t>781101210RT4</t>
  </si>
  <si>
    <t>781101141R00</t>
  </si>
  <si>
    <t>Hydroizolační stěrka jednovrstvá pod obklady</t>
  </si>
  <si>
    <t>Deska varná vestavná černá, plynová dle specifikace v PD (např. MORA VDP 645 GB3)</t>
  </si>
  <si>
    <t>783122710R00</t>
  </si>
  <si>
    <t>632411904R00</t>
  </si>
  <si>
    <t>Penetrace velmi savých podkladů 0,25l/m2</t>
  </si>
  <si>
    <t>775413040R00</t>
  </si>
  <si>
    <t>Montáž dřevěné soklové podlahové lišty, lepením</t>
  </si>
  <si>
    <t>722172332R00</t>
  </si>
  <si>
    <t>713191100RT9_P</t>
  </si>
  <si>
    <t>Nedílnou součástí tohoto výkazu je i projektová dokumentace. Pokud dle názoru dodavatele některé práce a dodávky ve výkazu výměr chybí zašle dotazy, připomínky v termínu výběrového řízení.</t>
  </si>
  <si>
    <t>koaxiální kabel CB 130F vč.prořezu</t>
  </si>
  <si>
    <t>trubka PVC 2321</t>
  </si>
  <si>
    <t>podíl přidružených výkonů</t>
  </si>
  <si>
    <t>Montáž uzávěrek zápach. umyvadlových D32</t>
  </si>
  <si>
    <t>"O"opravy
"I" Investice</t>
  </si>
  <si>
    <t>Bandáž koutů - provedení</t>
  </si>
  <si>
    <t>Provedení hydroizol. stěrky pod dlažby dvouvrstvé vč. osazení systémových prvků</t>
  </si>
  <si>
    <t>3a</t>
  </si>
  <si>
    <t>Zdravotechnika - demontáže</t>
  </si>
  <si>
    <t>725810811R00</t>
  </si>
  <si>
    <t>Svislá doprava suti a vybour. hmot za 2.NP nošením</t>
  </si>
  <si>
    <t>3b</t>
  </si>
  <si>
    <t>3c</t>
  </si>
  <si>
    <t>3d</t>
  </si>
  <si>
    <t>3e</t>
  </si>
  <si>
    <t>3f</t>
  </si>
  <si>
    <t>3g</t>
  </si>
  <si>
    <t>Vyvedení odpadních výpustek D 110 x 2,7 (wc)</t>
  </si>
  <si>
    <t>721194109R00</t>
  </si>
  <si>
    <t>725869204R00</t>
  </si>
  <si>
    <t>Montáž uzávěrek zápach.dřez.jednoduchý D 40</t>
  </si>
  <si>
    <t>763761201R00</t>
  </si>
  <si>
    <t xml:space="preserve">Montáž výztužné sítě (perlinky) do stěrky - vnit.stěny, ostění, včetně výztužné sítě, stěrkového tmelu </t>
  </si>
  <si>
    <t xml:space="preserve">Montáž výztužné sítě (perlinky) do stěrky - stropy, nadpraží včetně výztužné sítě, stěrkového tmelu </t>
  </si>
  <si>
    <t>https://www.siko.cz/dlazba-rako-board-tmave-hneda-30x120-cm-mat-dakvf144-1/p/DAKVF144.1?gclid=CjwKCAjwz_WGBhA1EiwAUAxIcRO51dQm7Ur782JXL_SA-g3exAB1aQCNd7_j7sPhEaul1_r37_oENRoCGeIQAvD_BwE</t>
  </si>
  <si>
    <t>https://www.siko.cz/dlazba-rako-blend-bezova-60x60-cm-mat-dak63806-1/p/DAK63806.1</t>
  </si>
  <si>
    <t>Lednice s mrazákem v bílé barvě, parametry dle PD, ref. Výrobek GORENJE NRK6202AC4</t>
  </si>
  <si>
    <t xml:space="preserve">Různé </t>
  </si>
  <si>
    <t>Malba stěny, ostění</t>
  </si>
  <si>
    <t>Malba nadpraží a stropu</t>
  </si>
  <si>
    <t>965081713RT2</t>
  </si>
  <si>
    <t>https://digestore.heureka.cz/faber-inca-lux-2_0-eg8-x-a70/specifikace/#section</t>
  </si>
  <si>
    <t>317941121R00</t>
  </si>
  <si>
    <t>775101101R00</t>
  </si>
  <si>
    <t>728114112R00</t>
  </si>
  <si>
    <t>Montáž potrubí plastového kruhového do d 200 mm</t>
  </si>
  <si>
    <t xml:space="preserve">VZT PVC potrubí plastové kruhové hladké potrubí 125mm </t>
  </si>
  <si>
    <t>Spojka potrubí kruhová VP 125 KS</t>
  </si>
  <si>
    <t>Montážní rámeček kruhový VP 125 KMR</t>
  </si>
  <si>
    <t>N</t>
  </si>
  <si>
    <t>https://www.ventilatory.cz/pvc-vzduchovody-kulate-o-100-mm-x2s16347</t>
  </si>
  <si>
    <t>https://www.vzduchotechnika.cz/detail/5251-t---kus-125125</t>
  </si>
  <si>
    <t xml:space="preserve">Penetrace podkladu nátěrem </t>
  </si>
  <si>
    <t>Montáž revizních dvířek, mřížek</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</si>
  <si>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</si>
  <si>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</si>
  <si>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počet mj</t>
  </si>
  <si>
    <t>cena mj</t>
  </si>
  <si>
    <t>cena celkem</t>
  </si>
  <si>
    <t>DS2</t>
  </si>
  <si>
    <t>347015115R00_P</t>
  </si>
  <si>
    <t>206.1 = 11,1</t>
  </si>
  <si>
    <t>206.1 = 2,4+2*2</t>
  </si>
  <si>
    <t>206.1 = 2,5*19,3-2*0,9*2,05-2*,08*2,05-1,94*2,6</t>
  </si>
  <si>
    <t>206.1 = 2,5*18,39-2*0,9*2,05-2*,08*2,05-1,94*2,6</t>
  </si>
  <si>
    <t>206.1 = 2,5*18,39-5*0,9*2,05-1,94*2,5</t>
  </si>
  <si>
    <t>Vybourání otv. zeď cihel. 0,0225 m2, tl. 60cm, MVC (VZT)</t>
  </si>
  <si>
    <t>971033261R00</t>
  </si>
  <si>
    <t>Vybourání otvoru pro rozvaděč elektro (Esi+Esa)</t>
  </si>
  <si>
    <t>206.2 =1,035*2,53*0,3</t>
  </si>
  <si>
    <t xml:space="preserve">Dozdívky - zdivo nosné cihelné z CP 29 P15 na MVC 2,5 zdivem, tl.30 cm, vč. vysekání kapes pro zavázání  </t>
  </si>
  <si>
    <t>416093111R00_P</t>
  </si>
  <si>
    <t>Čelo podhledu SDK, v. do 200mm, 1xCD, 1xRB 12,5</t>
  </si>
  <si>
    <t>10,4+0,45*4,12</t>
  </si>
  <si>
    <t>Koleno 90° horizontální ploché VP  60x204-90</t>
  </si>
  <si>
    <t>429851021_P</t>
  </si>
  <si>
    <t>Montážní rámeček plochý VP 60/204mm</t>
  </si>
  <si>
    <t>Spojka potrubí VP 60/204mm</t>
  </si>
  <si>
    <t>Ploché potrubí VP 60/204mm</t>
  </si>
  <si>
    <t>429853051_P</t>
  </si>
  <si>
    <t>PVC přechodový kus 60/204 - 125mm, horizontální</t>
  </si>
  <si>
    <t>PVC přechodový kus 60/204 - 125mm, vertinkální</t>
  </si>
  <si>
    <t>https://www.ventilatory.cz/pvc-redukce-90-z-kulateho-na-hranate-potrubi-o-125-mm-204x60-mm-x1280</t>
  </si>
  <si>
    <t>T kus, nerez vč. víčka - úprava na sběr kondenzátu  Ø 125 mm (digestoř)</t>
  </si>
  <si>
    <t>42981182_P</t>
  </si>
  <si>
    <t>SPIRRO potrubí DN125, včetně úchytů a spojek</t>
  </si>
  <si>
    <t>https://www.vzduchotechnika.cz/katalog/12-spiro?p%5B%5D=51#page</t>
  </si>
  <si>
    <t>Montáž potrubí plastového čtyřhranného do 0,03 m2</t>
  </si>
  <si>
    <t>728113112R00</t>
  </si>
  <si>
    <t>Montáž střišky nebo hlavice plast.kruh.do d 200 mm</t>
  </si>
  <si>
    <t>728214712R00</t>
  </si>
  <si>
    <t>https://www.palmat.cz/ventilacni-striska-psa-140-200-mm/?gclid=Cj0KCQjw0emHBhC1ARIsAL1QGNf7nCMrAdE9m5UnYwFWD94TrGV2CdVNyBNPwjIvBb3Uz9vuIU8D7PcaAmZZEALw_wcB</t>
  </si>
  <si>
    <t>Ukončovací protidešťová stříška včetně propojovacích prvků (šedá bez odlesku)</t>
  </si>
  <si>
    <t>632415104R00_P</t>
  </si>
  <si>
    <t>DP2,MA1</t>
  </si>
  <si>
    <t>722181214RT5_P</t>
  </si>
  <si>
    <t>Izolace návleková pružná, λ=0,035, tl. stěny 8 mm, vnitřní průměr cca 15 mm</t>
  </si>
  <si>
    <t>Rekapitulace</t>
  </si>
  <si>
    <t>Celkem základní cena</t>
  </si>
  <si>
    <t>DPH stavby</t>
  </si>
  <si>
    <t>Celkem vč. DPH</t>
  </si>
  <si>
    <t>Poznámky pro uchazeče</t>
  </si>
  <si>
    <t>Jednotkové ceny by měly obsahovat:</t>
  </si>
  <si>
    <t xml:space="preserve">e) náklady na protihluková a protiprašná zařízení </t>
  </si>
  <si>
    <t>725110811R00</t>
  </si>
  <si>
    <t>Montáž kuchyňské linké linky, vč. úpravy pracovní desky a montáže spotřebičů</t>
  </si>
  <si>
    <t>771111122R00</t>
  </si>
  <si>
    <t>631591115R00</t>
  </si>
  <si>
    <t>Násyp pod podlahy z keramzitu (fr. 1-4mm) do tl. 25mm</t>
  </si>
  <si>
    <t>311231114RT2_P</t>
  </si>
  <si>
    <t>https://www.harv.cz/pracovni-deska-ocel-tmava-f627-pt/?variantId=94331&amp;gclid=Cj0KCQjw3f6HBhDHARIsAD_i3D-7OKGGcb8cF_10P7HKS05UMMdA3JthoCGdKc-qz3oYp03Ky72NmO8aAno9EALw_wcB</t>
  </si>
  <si>
    <t>28349015_P</t>
  </si>
  <si>
    <t>28349012_P</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</si>
  <si>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</si>
  <si>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</si>
  <si>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r>
      <t>Těsnící stěrka dle specifikace v PD, předpokládaná spotřeba 1,5kg/m</t>
    </r>
    <r>
      <rPr>
        <i/>
        <vertAlign val="superscript"/>
        <sz val="10"/>
        <color indexed="49"/>
        <rFont val="Arial"/>
        <family val="2"/>
      </rPr>
      <t>2</t>
    </r>
  </si>
  <si>
    <t>725860811R00</t>
  </si>
  <si>
    <t>784011221RT2</t>
  </si>
  <si>
    <t>968061125R00</t>
  </si>
  <si>
    <t>Potrubí z PPR, D 25x4,2 mm, PN 20, vč. zed. výpom.</t>
  </si>
  <si>
    <t>Tlaková zkouška vodovodního potrubí DN32</t>
  </si>
  <si>
    <t>725869101R00</t>
  </si>
  <si>
    <t>721194103R00</t>
  </si>
  <si>
    <t>721194104R00</t>
  </si>
  <si>
    <t>Vyvedení odpadních výpustek D 40 x 1,8 (pro dřez)</t>
  </si>
  <si>
    <t>721194105R00</t>
  </si>
  <si>
    <t>Montáž držáku sprchy</t>
  </si>
  <si>
    <t>416091082R00</t>
  </si>
  <si>
    <t>784402801R00</t>
  </si>
  <si>
    <t>Potrubí HT připojovací DN 110 x 2,7mm, vč. nezbytných kolen, odboček, redukcí a montáže</t>
  </si>
  <si>
    <t>Potrubí HT připojovací D 50 x 1,8 mm, vč. nezbytných kolen, odboček, redukcí a montáže</t>
  </si>
  <si>
    <t>Penetrace podkladu pod obklady, položka obsahuje provedení penetračního nátěru včetně dodávky materiálu.</t>
  </si>
  <si>
    <t>612474410R00</t>
  </si>
  <si>
    <t>771101147R00</t>
  </si>
  <si>
    <t xml:space="preserve">Malba standard, bílá, bez penetr.,min. 2x stěny a stropy </t>
  </si>
  <si>
    <t>784115212R00</t>
  </si>
  <si>
    <t>D+M</t>
  </si>
  <si>
    <t>722290234R00</t>
  </si>
  <si>
    <t xml:space="preserve">Proplach a dezinfekce vodovod.potrubí </t>
  </si>
  <si>
    <t>Montáž umyvadel na šrouby do zdiva</t>
  </si>
  <si>
    <t>725219401R00</t>
  </si>
  <si>
    <t xml:space="preserve">Umyvadlový sifon s vtokem vč. napojovací manžety chrom </t>
  </si>
  <si>
    <t>725829202R00</t>
  </si>
  <si>
    <t>725319101R00</t>
  </si>
  <si>
    <t>Montáž dřezů jednoduchých</t>
  </si>
  <si>
    <t>771101142R00</t>
  </si>
  <si>
    <t>Montáž podlahových lišt přechodových</t>
  </si>
  <si>
    <t>V3 -M</t>
  </si>
  <si>
    <t>784111101R00</t>
  </si>
  <si>
    <t>https://www.alza.cz/mora-vdp-645gb3-d5129956.htm?kampan=adw2_bile-elektro_pla_all_bile-elektro-css_ostatni_ostatni_c_1003788__MORVD001&amp;gclid=CjwKCAiAgJWABhArEiwAmNVTByCMqJFbBz2xJs32ucOKW9SRJ7Eyb1qVzL0Ixw7Lr21g05SEFBUPxBoCFHgQAvD_BwE</t>
  </si>
  <si>
    <t xml:space="preserve">Zabezpečení stávajících zařízení a vybavení   </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</si>
  <si>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součástí zadavací dokumentace.</t>
  </si>
  <si>
    <t>346244315R00</t>
  </si>
  <si>
    <t>775521800R00</t>
  </si>
  <si>
    <t>https://www.koupelnovevybaveni.cz/flexira-hadice-xconnect-gas-basic-1000-mm-r1-2-g1-2-h121g1-10</t>
  </si>
  <si>
    <t>5513101491_P</t>
  </si>
  <si>
    <t>Vnitrostaveništní doprava suti a vybouraných hmot do 10 m</t>
  </si>
  <si>
    <t>Vnitrostaveništní doprava suti a vybouraných hmot do 10m</t>
  </si>
  <si>
    <t>979990001R00_P</t>
  </si>
  <si>
    <t>Poplatek za skládku materiálu</t>
  </si>
  <si>
    <t>979095312R00</t>
  </si>
  <si>
    <t>Naložení a složení suti</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</si>
  <si>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</si>
  <si>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</si>
  <si>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</si>
  <si>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</si>
  <si>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</si>
  <si>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</si>
  <si>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</si>
  <si>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</si>
  <si>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</si>
  <si>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</si>
  <si>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</si>
  <si>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</si>
  <si>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</si>
  <si>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</si>
  <si>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</si>
  <si>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</si>
  <si>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</si>
  <si>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</si>
  <si>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VRN5</t>
  </si>
  <si>
    <t>Finanční náklady</t>
  </si>
  <si>
    <t>VRN6</t>
  </si>
  <si>
    <t>Provozní vlivy</t>
  </si>
  <si>
    <t>VRN7</t>
  </si>
  <si>
    <t>Ostatní náklady</t>
  </si>
  <si>
    <t>Ostatní materiály, práce, dodávky, služby a výkony jinde neuvedené</t>
  </si>
  <si>
    <t>proudový chránič 25/4/0,03</t>
  </si>
  <si>
    <t>28650014_P</t>
  </si>
  <si>
    <t>Technické zařízení BJ</t>
  </si>
  <si>
    <t xml:space="preserve">Omítka stěn vnitřní tenkovrstvá vápenná - jemný štuk, Položka obsahuje nátěr podkladu spojovacím můstkem a štukovou omítku tl. 5 mm. Ruční provedení. </t>
  </si>
  <si>
    <t>712990813RT2</t>
  </si>
  <si>
    <t>Otopná tělesa panelová dvouřadá v.600/š.1000mm, např.ref výrobek Radik Klasik R, 22R/554/1000</t>
  </si>
  <si>
    <t>735156666R00</t>
  </si>
  <si>
    <t>Ocelové těleso žebříkové KLC1500.600, spodní středové připojení</t>
  </si>
  <si>
    <t>735171311R00</t>
  </si>
  <si>
    <t>Ocelové hladké bezešvé potrubí (DN dle stávající odbočky)</t>
  </si>
  <si>
    <t>733123911R00_P</t>
  </si>
  <si>
    <t>733121110R00_P</t>
  </si>
  <si>
    <t>733122122R00_P</t>
  </si>
  <si>
    <t>723120804R00_P</t>
  </si>
  <si>
    <t>766621921R00_P</t>
  </si>
  <si>
    <t>766662912R00_P</t>
  </si>
  <si>
    <t xml:space="preserve">Repase prosklených dveří vč. výměny zasklení,  kování, dle specifikace v PD, (ve výkazu uvedena plocha dveří), v jednotkové ceně za m2 bude kalkulována úprava z obou stran </t>
  </si>
  <si>
    <t>781475124R00_P</t>
  </si>
  <si>
    <t>781475127R00_P</t>
  </si>
  <si>
    <r>
      <t>Odstranění stávajících maleb oškrábáním (STĚNY+ STROP) H do 3,8m, mimo přizdívky a pohledy.</t>
    </r>
    <r>
      <rPr>
        <sz val="9"/>
        <rFont val="Arial"/>
        <family val="2"/>
      </rPr>
      <t xml:space="preserve"> </t>
    </r>
    <r>
      <rPr>
        <sz val="8"/>
        <rFont val="Arial"/>
        <family val="2"/>
      </rPr>
      <t>(označení místností dle stávajícího stavu)</t>
    </r>
  </si>
  <si>
    <r>
      <rPr>
        <i/>
        <sz val="10"/>
        <rFont val="Arial CE"/>
        <family val="2"/>
      </rPr>
      <t>Zpracovatel:</t>
    </r>
    <r>
      <rPr>
        <sz val="14"/>
        <rFont val="Arial CE"/>
        <family val="2"/>
      </rPr>
      <t xml:space="preserve"> Atelier PHA spol. s r.o.</t>
    </r>
  </si>
  <si>
    <r>
      <rPr>
        <i/>
        <sz val="10"/>
        <rFont val="Arial CE"/>
        <family val="2"/>
      </rPr>
      <t>Investor:</t>
    </r>
    <r>
      <rPr>
        <sz val="14"/>
        <rFont val="Arial CE"/>
        <family val="2"/>
      </rPr>
      <t xml:space="preserve"> Městská část Praha 5 zastoupená firmou Centra a.s.</t>
    </r>
  </si>
  <si>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</si>
  <si>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</si>
  <si>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</si>
  <si>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</si>
  <si>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</si>
  <si>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Těsnící stěrka, předpokládaná spotřeba 1,5 kg/m2</t>
  </si>
  <si>
    <t xml:space="preserve">Nátěr olejový speciální dřevěných podlah 1x dle specifikace v PD, 1x základ </t>
  </si>
  <si>
    <t>734209113R00</t>
  </si>
  <si>
    <t>Montáž armatur závitových,se 2závity, G 1/2</t>
  </si>
  <si>
    <t>734209114R00</t>
  </si>
  <si>
    <t>Montáž armatur závitových,se 2závity, G 3/4</t>
  </si>
  <si>
    <t>W01</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</si>
  <si>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</si>
  <si>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Vysávání podlah prům.vysavačem</t>
  </si>
  <si>
    <t>771579790R00</t>
  </si>
  <si>
    <t>597813751_P1</t>
  </si>
  <si>
    <t>597813751_P2</t>
  </si>
  <si>
    <t>597813751_P3</t>
  </si>
  <si>
    <t>61581624.A_P</t>
  </si>
  <si>
    <t>615290744_P</t>
  </si>
  <si>
    <t>54112115_P</t>
  </si>
  <si>
    <t>53821107_P</t>
  </si>
  <si>
    <t>23152401_P</t>
  </si>
  <si>
    <t>61413711_P</t>
  </si>
  <si>
    <t>5537000213_P</t>
  </si>
  <si>
    <t>551620220_P</t>
  </si>
  <si>
    <t>551620240_P</t>
  </si>
  <si>
    <t>55145015_P</t>
  </si>
  <si>
    <t>55145001_P</t>
  </si>
  <si>
    <t>55145009_P</t>
  </si>
  <si>
    <t>55231355_P</t>
  </si>
  <si>
    <t>726212321R00_P</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</si>
  <si>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</si>
  <si>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</si>
  <si>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</si>
  <si>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</si>
  <si>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V3 - D</t>
  </si>
  <si>
    <t>1,25kg/m2</t>
  </si>
  <si>
    <t>Spojka potrubí kruh. se zpětnou klapkou VP 125 KSK</t>
  </si>
  <si>
    <t>Stěny a příčky</t>
  </si>
  <si>
    <t>776996110R00_P</t>
  </si>
  <si>
    <t>Finální voskování marmolea ve dvou vrstvách</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</si>
  <si>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</si>
  <si>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</si>
  <si>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</si>
  <si>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https://www.ventilatory.cz/izolacni-navlek-o-125-mm-delka-5-m-x12563</t>
  </si>
  <si>
    <t>42972302_P</t>
  </si>
  <si>
    <t>P</t>
  </si>
  <si>
    <t xml:space="preserve">Drobný pomocný materiál </t>
  </si>
  <si>
    <t>5513730630_P</t>
  </si>
  <si>
    <t>https://catalog.geberit.cz/cs-CZ/N%2525C3%2525A1bytkov%2525C3%2525BD-set-umyvadla-Geberit-Selnova-Square-s-%2525C3%2525BAzk%2525C3%2525BDm-okrajem-a-sk%2525C5%252599%2525C3%2525AD%2525C5%252588kou,-dv%2525C4%25259B-z%2525C3%2525A1suvky/PRO_1470724.html</t>
  </si>
  <si>
    <t>Vybourání dřevěných rámů oken jednoduch. pl. 2 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</si>
  <si>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</si>
  <si>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</si>
  <si>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</si>
  <si>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</si>
  <si>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</si>
  <si>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Vyvěšení dřevěných dveřních křídel pl. do 2 m2</t>
  </si>
  <si>
    <t>Demontáž uzávěrek zápachových jednoduchých</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</si>
  <si>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</si>
  <si>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</si>
  <si>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</si>
  <si>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</si>
  <si>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</si>
  <si>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Vyvěšení dřevěných prosklených křídel pl. nad 1,5 m2 (repase)</t>
  </si>
  <si>
    <t>971033231R00</t>
  </si>
  <si>
    <t>Vybourání otv. zeď cihel. 0,0225 m2, tl. 15cm, MVC (VZT)</t>
  </si>
  <si>
    <t>Demontáž podlah vlysových přibíjených včetně lišt</t>
  </si>
  <si>
    <t>728414611R00_P</t>
  </si>
  <si>
    <t>Podlaha povlaková, marmoleum, specifikace dle PD, vč. prořezu 10%</t>
  </si>
  <si>
    <t>776521100RT1</t>
  </si>
  <si>
    <t>Lepení povrlakových podlah z pásů PVC</t>
  </si>
  <si>
    <t>59777001_P</t>
  </si>
  <si>
    <t>735191901R00_P</t>
  </si>
  <si>
    <t>DP3</t>
  </si>
  <si>
    <t>DP1,2,3</t>
  </si>
  <si>
    <t>Bourání podkladů bet., potěr tl. 20-30 cm, pl. 4 m2</t>
  </si>
  <si>
    <t>m.č. 206.4 = 3,3*0,03</t>
  </si>
  <si>
    <t>m.č. 206.5 = 4,16*0,03</t>
  </si>
  <si>
    <t>m.č. 206.4 = 3,3</t>
  </si>
  <si>
    <t>m.č. 206.5 = 4,16</t>
  </si>
  <si>
    <t>206.3 = 9,6</t>
  </si>
  <si>
    <t>Demontáž dřevovláknité desky, tl. 30mm</t>
  </si>
  <si>
    <t>m.č. 206.2 = 13,2</t>
  </si>
  <si>
    <t>Izolace tepelná podlah na sucho, 1vrstvá</t>
  </si>
  <si>
    <t>KDI1, DP1</t>
  </si>
  <si>
    <t>713121111R00</t>
  </si>
  <si>
    <t xml:space="preserve">Potěr samonivelační ručně tl.3-5 mm, vyrovnávací, pevnosti 15 MPa; odhad 100% plochy </t>
  </si>
  <si>
    <t xml:space="preserve">Omítka vápenná vnitřního ostění - vnitřní tenkovrstvá vápenná - jemný štuk, Položka obsahuje nátěr podkladu spojovacím můstkem a štukovou omítku tl. 5 mm. Ruční provedení. </t>
  </si>
  <si>
    <t>https://www.aquatopshop.cz/Zkusebni-ventil-1-2-d1095.htm?gclid=Cj0KCQjwl9GCBhDvARIsAFunhsn6ah3-mTON0Iv2XmZd2mLuTz7n5BDazT05Y6T1ozradL11EV74pw8aAq8vEALw_wcB</t>
  </si>
  <si>
    <t>775411810R00</t>
  </si>
  <si>
    <t>Demontáž lišt dřevěných, přibíjených</t>
  </si>
  <si>
    <t>Odstranění násypu nebo nánosu tl. 5 - 10 cm, z ploch jednotlivě od 10 m2 do 20 m2</t>
  </si>
  <si>
    <t>342255020RT2</t>
  </si>
  <si>
    <t>Přizdívka z tvárnic porobet. tl. 50 mm hlad. tvárnice 600 x 250 x 50 mm, P2 - 500, vč. spražení se zděnou stěnou (navrtané trny nebo pásovina do každé třetí spáry po cca 1,0 m</t>
  </si>
  <si>
    <t>https://www.truhlarstvimicek.cz/dvere-vchodove-oliver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</si>
  <si>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</si>
  <si>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</si>
  <si>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</si>
  <si>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</si>
  <si>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</si>
  <si>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</si>
  <si>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</si>
  <si>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</si>
  <si>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</si>
  <si>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</si>
  <si>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</si>
  <si>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</si>
  <si>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</si>
  <si>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rámeček 1x - jednoduchý</t>
  </si>
  <si>
    <t>rámeček 2x, dvojrámeček</t>
  </si>
  <si>
    <t>krabice přístrojová KP</t>
  </si>
  <si>
    <t>hmoždinky vč.vrutu, vrtání</t>
  </si>
  <si>
    <t>vodič CY 4 - zel.žl.</t>
  </si>
  <si>
    <t>přezkoušení vedení</t>
  </si>
  <si>
    <t>práce neoceněné položkami ceníku (drobný pomocný materiál)</t>
  </si>
  <si>
    <t>soub</t>
  </si>
  <si>
    <t>hod</t>
  </si>
  <si>
    <t>revize el.zařízení</t>
  </si>
  <si>
    <t>svorkovnice KLM</t>
  </si>
  <si>
    <t>zapojení rozvaděče</t>
  </si>
  <si>
    <t>SLABOPROUD</t>
  </si>
  <si>
    <t>Dokumentace skutečného provedení (2 vyhotovení)</t>
  </si>
  <si>
    <t>Celkové rozpočtové náklady elektroinstalace bez DPH</t>
  </si>
  <si>
    <t>Cena vč. DPH</t>
  </si>
  <si>
    <t>Klozet závěsný, Rimless, odpad zadní, vč. sedátka a připojovací tlakové hadice - specifikace dle PD, ref. výrobek Jika Mio</t>
  </si>
  <si>
    <t>Z01</t>
  </si>
  <si>
    <t>Úhelník nerovnoramenný L jakost S235 50x50x6 mm, vč. kotvícího materiálu</t>
  </si>
  <si>
    <t>968061113R00_P</t>
  </si>
  <si>
    <t>DS1R</t>
  </si>
  <si>
    <t xml:space="preserve">opravy </t>
  </si>
  <si>
    <t xml:space="preserve">investice </t>
  </si>
  <si>
    <t xml:space="preserve">kontrola </t>
  </si>
  <si>
    <t>Podlahy dřevěné a povlakové</t>
  </si>
  <si>
    <t>DU3</t>
  </si>
  <si>
    <t>poznámka</t>
  </si>
  <si>
    <t>Nástěnka závitová plastová PPR PN 20, 25x4.2, 1/2</t>
  </si>
  <si>
    <t>Nástěnný komplet (Nástěnka dvojitá závitová plastová) PPR PN 20, 25x4.2, 1/2</t>
  </si>
  <si>
    <t>m3</t>
  </si>
  <si>
    <t>Topení</t>
  </si>
  <si>
    <t>Demontáž ventilu výtokového nástěnného</t>
  </si>
  <si>
    <t>Demontáž klozetu včetně splachovací nádrže</t>
  </si>
  <si>
    <t>Odsekání vnitřních obkladů stěn nad 2 m2</t>
  </si>
  <si>
    <t>Stropy a stropní konstrukce a podhledy</t>
  </si>
  <si>
    <t>Kuchyňská linka vč. pracovní desky, bez spotřebičů dle specifikace v PD</t>
  </si>
  <si>
    <t>712990813RT1</t>
  </si>
  <si>
    <t>979011211R00</t>
  </si>
  <si>
    <t>979081111RT2</t>
  </si>
  <si>
    <t xml:space="preserve">Odvoz suti a vybour. hmot na skládku do 1 km kontejnerem </t>
  </si>
  <si>
    <t>979081121RT2</t>
  </si>
  <si>
    <t>Příplatek k odvozu za každý další 1 km (uvažováno 9km)</t>
  </si>
  <si>
    <t>979094211R00</t>
  </si>
  <si>
    <t>Nakládání nebo překládání vybourané suti</t>
  </si>
  <si>
    <t>Poplatek za skládku suti - směs betonu,cihel</t>
  </si>
  <si>
    <t>Poplatek za skládku suti - dřevo</t>
  </si>
  <si>
    <t>979990161R00</t>
  </si>
  <si>
    <t>d</t>
  </si>
  <si>
    <t>346244313R00</t>
  </si>
  <si>
    <t>SK2-D+M</t>
  </si>
  <si>
    <t>Penetrace podkladu (před vystěrkováním)</t>
  </si>
  <si>
    <t>612409991RT2</t>
  </si>
  <si>
    <t>612425931RT2</t>
  </si>
  <si>
    <t>Příplatek za zabudované rohovníky, stěny</t>
  </si>
  <si>
    <t>612473186R00</t>
  </si>
  <si>
    <t>781479711R00</t>
  </si>
  <si>
    <t>SK1-D+M</t>
  </si>
  <si>
    <t>Montáž SDK podhledu jednoduše opláštěného na samonosný rošt, vč dodávky nosných profilů a zatmelení návazností na zděné stěny (akrylátovým tmelem) dle PD</t>
  </si>
  <si>
    <t>Příplatek k podhledu sádrokart. za plochu od 2 do 5 m2</t>
  </si>
  <si>
    <t>Začištění omítek kolem stávajících oken,dveří apod. s použitím suché maltové směsi</t>
  </si>
  <si>
    <t>DU3b-M</t>
  </si>
  <si>
    <t>DU3a-M</t>
  </si>
  <si>
    <t>https://www.siko.cz/lista-ukoncovaci-l-hlinik-elox-champagne-delka-250-cm-vyska-10-mm-alech10250/p/ALECH10250?gclid=Cj0KCQiAmL-ABhDFARIsAKywVafUQSqk768F_5wDqwz_IvTGUo0KgP15x6zzf3As6XCahEW13hNhh0EaAvF5EALw_wcB</t>
  </si>
  <si>
    <t>dodávka kování - štíty+zámek</t>
  </si>
  <si>
    <t>dodávka kování - štíty WC+zámek</t>
  </si>
  <si>
    <t>https://www.expert.cz/electrolux-ehf6241fok/</t>
  </si>
  <si>
    <t>https://www.floorwood.cz/prechodova-lista-sroubovaci-obla-stribrna-e01/</t>
  </si>
  <si>
    <t>Dřezový sifon plastový</t>
  </si>
  <si>
    <t>978059531R00</t>
  </si>
  <si>
    <t xml:space="preserve">Montáž uzávěrek zápach. </t>
  </si>
  <si>
    <t>spínač č.6 - střídavý</t>
  </si>
  <si>
    <t>rámeček 3x, trojrámeček</t>
  </si>
  <si>
    <t>CYKYLo 3Cx2,5 vč.prořezu</t>
  </si>
  <si>
    <t>CYKYLo 2Ax1,5 vč.prořezu</t>
  </si>
  <si>
    <t>CYKYLo 3Ax1,5 vč.prořezu</t>
  </si>
  <si>
    <t>CYKYLo 3Cx1,5 vč.prořezu</t>
  </si>
  <si>
    <t>CYKYLo 5Cx1,5 vč.prořezu</t>
  </si>
  <si>
    <t>Rozvaděč RB</t>
  </si>
  <si>
    <t>Jistič 16/1-B</t>
  </si>
  <si>
    <t>pom.materiál (svorky, vodiče)</t>
  </si>
  <si>
    <t>telefonní zásuvka (zásuvka,maska,kryt) - Cat5e</t>
  </si>
  <si>
    <t>komunikační zásuvka PC (zásuvka,maska,kryt)</t>
  </si>
  <si>
    <t>krabice KO s víčkem</t>
  </si>
  <si>
    <t>kabel UTP Cat 5e vč.prořezu</t>
  </si>
  <si>
    <t>https://www.alza.cz/bosch-hbg5370b0-d5771242.htm?kampan=adw2_bile-elektro_pla_all_vendor_mpla114458-bosch_c_1003788__BOTRO28&amp;gclid=CjwKCAiAu8SABhAxEiwAsodSZBKlTkK56InHtQGyCQbf6DM_9unAO1OeTXxumcuJ2fU7b13EkkR8ZRoC_MgQAvD_BwE</t>
  </si>
  <si>
    <t>https://www.datart.cz/odsavac-par-faber-inca-lux-glass-ev8-x-bk-a70-cerny-nerez-sklo.html?gclid=CjwKCAiAgJWABhArEiwAmNVTBwj92MNkVHtqYNk6yQm0cg06vPd9dr7jwF1HPSLBZhaSBLssMwM9NRoC3jQQAvD_BwE</t>
  </si>
  <si>
    <t>722202221R00_P</t>
  </si>
  <si>
    <t>722190401R00</t>
  </si>
  <si>
    <t>Vyvedení a upevnění výpustek DN 15</t>
  </si>
  <si>
    <t>Vyvedení odpadních výpustek D 32 x 1,8 (pro umyvadlo, pračku, myčku)</t>
  </si>
  <si>
    <t>998011002R00_P</t>
  </si>
  <si>
    <t>Osazení ocelových válcovaných nosníků do č.12</t>
  </si>
  <si>
    <t>Vyvedení a upevnění plynovodních výpustek DN 15</t>
  </si>
  <si>
    <t>968061112R00</t>
  </si>
  <si>
    <t>Vyvěšení dřevěných okenních křídel pl. do 1,5 m2</t>
  </si>
  <si>
    <t>Podlahová lišta dle specifikace v PD vč. prořezu 10%</t>
  </si>
  <si>
    <t>https://www.drevene-listy-eshop.cz/drevene-listy/eshop/4-1-DUBOVE-LISTY/0/5/2-LISTA-PARKETOVA-dub</t>
  </si>
  <si>
    <t>725220841R00</t>
  </si>
  <si>
    <t>Vyvedení odpadních výpustek D 50 x 1,8 (vana)</t>
  </si>
  <si>
    <t>725229102RT2</t>
  </si>
  <si>
    <r>
      <t>Vanová odpadová přepadová soustava vč. zápachové uzávěry s otočným kolenem</t>
    </r>
    <r>
      <rPr>
        <i/>
        <sz val="10"/>
        <color indexed="15"/>
        <rFont val="Arial"/>
        <family val="2"/>
      </rPr>
      <t>,</t>
    </r>
    <r>
      <rPr>
        <i/>
        <sz val="10"/>
        <color indexed="49"/>
        <rFont val="Arial"/>
        <family val="2"/>
      </rPr>
      <t xml:space="preserve"> DN50, uzavírání odpadu pomocí bovdenového ovládání, chrom, průtok 51,6 l/min, průtok přepad 42 l/min</t>
    </r>
  </si>
  <si>
    <t>https://jika-shop.cz/lyra-plus-klozet-zavesny-49-cm-compact-hluboke-splachovani-bily-663152338201/</t>
  </si>
  <si>
    <t>https://jika-shop.cz/tlacitko-ovladaci-jika-pl3-single-flush-matny-chrom-663909366000/</t>
  </si>
  <si>
    <t>725119306R00</t>
  </si>
  <si>
    <t>Montáž klozetu závěsného</t>
  </si>
  <si>
    <t>721170955R00_P</t>
  </si>
  <si>
    <t>vsazení odbočky na litinovém potrubí (REZERVA) DN 110 (HT,  DN110/110/50/87°) napojená na PVC potrubí</t>
  </si>
  <si>
    <t>https://www.siko.cz/umyvadlo-grohe-bau-ceramic-60-9x44-2-cm-alpska-bila-otvor-pro-baterii-uprostred-39421000/p/G39421000?gclid=Cj0KCQjw_dWGBhDAARIsAMcYuJy8Ydv1N8PwEC7dugAI8yOKZUVB1kqlotzcc0dCt0BRmbHZChVur_AaAjsSEALw_wcB</t>
  </si>
  <si>
    <t>https://www.siko.cz/umyvatko-grohe-bau-ceramic-45-3x35-4-cm-alpska-bila-otvor-pro-baterii-uprostred-39424000/p/G39424000</t>
  </si>
  <si>
    <t>Demontáž polic a dalšího drobného nábytku</t>
  </si>
  <si>
    <t>m.č. 206.5 = 8,64*2,4-0,9*2,02-0,75*2,02-2*0,32*0,62</t>
  </si>
  <si>
    <t>m.č. 206.4 = 7,3*2,4-0,75*2,02-0,32*0,62</t>
  </si>
  <si>
    <t>m.č. 206.2 = (1,22+5,38)*1,52</t>
  </si>
  <si>
    <t>m.č. 206.4 = 7,3*(2,4-1,51)-0,75*(2,02-1,51)-0,32*0,62</t>
  </si>
  <si>
    <t>m.č. 206.5 = 8,64*(2,4-1,96)-0,9*(2,02-1,96)-0,75*(2,02-1,96)-2*0,32*0,62</t>
  </si>
  <si>
    <t>m.č. 206.4 = 0,77*2,005</t>
  </si>
  <si>
    <t>206.1 = 12,2</t>
  </si>
  <si>
    <t>206.2 = 13,2</t>
  </si>
  <si>
    <t>206.1 = 19,8-5*0,9-3,34</t>
  </si>
  <si>
    <t>206.2 = 17,1-1,31-0,9</t>
  </si>
  <si>
    <t>206.6 = 19,1-0,9</t>
  </si>
  <si>
    <t>Přizdívka z tvárnic porobet. tl. 100 mm hlad. tvárnice 600 x 250 x 100 mm, P2 - 500, vč. spražení se zděnou stěnou (navrtané trny nebo pásovina do každé třetí spáry po cca 1,0 m</t>
  </si>
  <si>
    <t>783424240R00_P</t>
  </si>
  <si>
    <t>783424140R00_P</t>
  </si>
  <si>
    <t>Nátěr stávajícího viditelného potrubí do DN50 2x email</t>
  </si>
  <si>
    <t>Nátěr nového viditelného potrubí do DN50 1x základ + 2x email</t>
  </si>
  <si>
    <t>Otopná tělesa panelová dvouřadá v.900/š.500mm, např.ref výrobek Radik Klasik 22/900/500</t>
  </si>
  <si>
    <t>Otopná tělesa panelová dvouřadá v.600/š.800mm, např.ref výrobek Radik Klasik R, 22R/554/800</t>
  </si>
  <si>
    <t>Montáž panelových těles 3 řadých do délky 1140mm</t>
  </si>
  <si>
    <t>735158230R00</t>
  </si>
  <si>
    <t xml:space="preserve">Tlakové zkoušky panelových 3řadých těles </t>
  </si>
  <si>
    <t>735156664R00</t>
  </si>
  <si>
    <t xml:space="preserve">Tlakové zkoušky panelových 2řadých těles </t>
  </si>
  <si>
    <t>735156681R00</t>
  </si>
  <si>
    <t>Otopná tělesa panelová 3řadá v.600/š.900mm, např.ref výrobek Radik Klasik R, 33R/554/900</t>
  </si>
  <si>
    <t>735159210R00</t>
  </si>
  <si>
    <t>735159310R00</t>
  </si>
  <si>
    <t>735156765R00</t>
  </si>
  <si>
    <t>Obezdívky WC nádržek z desek Ytong tl.100 mm</t>
  </si>
  <si>
    <t>206.4 = (1,57+1,13)*1,2</t>
  </si>
  <si>
    <t>V2,4</t>
  </si>
  <si>
    <t>V4</t>
  </si>
  <si>
    <t>3,2+3,9</t>
  </si>
  <si>
    <t>206.6 = 18*2,6-0,9*2,05-2,09*1,42+19,7+0,57*1,02+0,57*2*2,53+0,135*2,09+0,135*2*1,42</t>
  </si>
  <si>
    <t>206.2 = 15,3*2,63-0,9*2,05-1,31*2,38+13,2+1,31*0,32+2*2,38*0,32-4,12*2,63</t>
  </si>
  <si>
    <t>206.3 = 19,2*2,635-0,9*2,05-2*1,34*1,49+20,3+1,34*0,18*2+1,49*0,18*4-4,12*2,63</t>
  </si>
  <si>
    <t>206.4 = 7,3*(2,5-1,51)-0,75*(2,05-1,51)-0,32*0,62</t>
  </si>
  <si>
    <t>206.5 = 8,63*(2,5-1,96)-2*0,32*0,34+0,165*(0,795+0,715)</t>
  </si>
  <si>
    <t>206.2 = 18,7*2,63-0,9*2,05-1,31*2,38-1,34*1,49+2*2,38*0,32+2*0,32*1,49+2*0,54*2,53</t>
  </si>
  <si>
    <t>206.3 = 13,3*2,635-0,9*2,05-1,34*1,49+2*1,49*0,32</t>
  </si>
  <si>
    <t>206.4 = 0</t>
  </si>
  <si>
    <t>206.5 = 0</t>
  </si>
  <si>
    <t>206.6 = 17,7*2,6-0,9*2,05-2,09*1,42+0,57*2*2,53+0,27*2*1,42</t>
  </si>
  <si>
    <t>206.3 = 10,3+1,33*0,32</t>
  </si>
  <si>
    <t>206.2 = 21,5+1,31*0,32+1,34*0,32+0,54*1,04</t>
  </si>
  <si>
    <t>206.6 = 19,4+0,57*1,02+0,27*2,09</t>
  </si>
  <si>
    <t>206.4 = 7,3*2,5-0,8*2,05-0,32*0,62+0,05*(1,57+1,13)+0,1*0,95</t>
  </si>
  <si>
    <t>206.5 = 8,63*2,5-0,8*2,05-0,32*0,62+0,05*1,88</t>
  </si>
  <si>
    <t>206.2 = 18,7*2,63-0,9*2,05-1,31*2,38-1,34*1,49-0,6*3,35</t>
  </si>
  <si>
    <t>206.1 = 0</t>
  </si>
  <si>
    <t>206.2 = 2*2,38*0,32+2*0,32*1,49+2*0,54*2,53</t>
  </si>
  <si>
    <t>206.3 = 13,3*2,635-0,9*2,05-1,34*1,49</t>
  </si>
  <si>
    <t>206.3 = 2*1,49*0,32</t>
  </si>
  <si>
    <t>206.6 = 0,57*2*2,53+0,27*2*1,42</t>
  </si>
  <si>
    <t>206.6 = 17,7*2,6-0,9*2,05-2,09*1,42</t>
  </si>
  <si>
    <t>206.2 = 2*2,53+2*2,38+2*1,49</t>
  </si>
  <si>
    <t>206.3 = 2*1,49</t>
  </si>
  <si>
    <t>206.6 = 2*2,53+2*1,42</t>
  </si>
  <si>
    <t>206.1 = 3*(0,9+2*2,05)</t>
  </si>
  <si>
    <t>206.2 = 0,9+2*2,05+1,31+2*2,38+1,34+2*1,49</t>
  </si>
  <si>
    <t>206.3 = 1,34+2*1,49</t>
  </si>
  <si>
    <t>206.4 = 2*(0,32+0,62)</t>
  </si>
  <si>
    <t>206.5 = 2*(0,32+0,62)</t>
  </si>
  <si>
    <t>206.6 = 0,9+2*2,05+2,09+2*1,42</t>
  </si>
  <si>
    <t>Obkládání stěn vnitř.keram. do tmele 300x1200mm (dekor dřevo), položka obsahuje lepící a spárovací tmel</t>
  </si>
  <si>
    <t>Obkládání stěn vnitř.keram. do tmele 600x600mm, položka obsahuje lepící a spárovací tmel</t>
  </si>
  <si>
    <t>206.4 = 1,2*(1,47+0,95+0,05+1,13)+0,05*(1,57+1,13)+0,1*0,95</t>
  </si>
  <si>
    <t>206.5 = 1,88*2,4-0,6*1,6+0,05*1,88</t>
  </si>
  <si>
    <t>206.4 = 7,3*2,4-0,8*2,05-0,32*0,62+0,05*(1,57+1,13)+0,1*0,95-4,55</t>
  </si>
  <si>
    <t>206.5 = 8,63*2,4-0,8*2,05-0,32*0,62+0,05*1,88-3,646</t>
  </si>
  <si>
    <t>Příplatek za kladení obkladu tvaru prken</t>
  </si>
  <si>
    <t>Obkládání stěn vnitř.keram. do tmele do 600x600 mm, položka obsahuje lepící a spárovací tmel (kuchyň)</t>
  </si>
  <si>
    <t>Keramický obklad 600/600/10mm dle specifikace v PD, vč. prořezu 10%, (koupelna, WC)</t>
  </si>
  <si>
    <t>Keramický obklad 300/1200/10mm dle specifikace v PD, vč. prořezu 10%, (koupelna, WC)</t>
  </si>
  <si>
    <t>Keramický obklad 600/600/10mm dle specifikace v PD, vč. prořezu 10%, (kuchyň)</t>
  </si>
  <si>
    <t>Ukončovací lišta hliníková elox, profilu L10mm, L=2,5m (rohy,přizdívky,výklenek, ukončení obkladu)</t>
  </si>
  <si>
    <t>206.2 délka = 0,6</t>
  </si>
  <si>
    <t>206.3 = 13,3*2,635+2*1,49*0,32</t>
  </si>
  <si>
    <t>076972512R00_P</t>
  </si>
  <si>
    <t>Vestavná nerezová digestoř, min. výkon při nulových ztrátách 790m3/h, ref. výrobek.Faber INCA LUX GLASS EV8 X/BK A70 černý, vč. montáže (technické parametry dle PD)</t>
  </si>
  <si>
    <t>https://www.datart.cz/pracka-hoover-hw4-37ambs-1-s-bila.html</t>
  </si>
  <si>
    <t>Automatická pračka, parametry dle PD,  ref. výrobek Hoover HWP4 37AMBS/1-S</t>
  </si>
  <si>
    <t>Vestavná el. Trouba, nerez, ref. výrobek BOSCH HBG5370B0</t>
  </si>
  <si>
    <t>https://www.datart.cz/trouba-bosch-serie-6-hbg5370s0-nerez.html?gclid=Cj0KCQjw3f6HBhDHARIsAD_i3D-2Gv2dvcFaZk3Myg20KFCNo8wNJTFgr4pKbDyesX7xak69gEvcXFMaAnWAEALw_wcB</t>
  </si>
  <si>
    <t>206.6 = 17,7*2,6+0,57*2*2,53+0,27*2*1,42</t>
  </si>
  <si>
    <t>206.2 = 18,7*2,63+2*2,38*0,32+2*0,32*1,49+2*0,54*2,53-0,6*3,35</t>
  </si>
  <si>
    <t>206.1 = 2,6*18,39-1,94*2,6</t>
  </si>
  <si>
    <t>766664121R00</t>
  </si>
  <si>
    <t>Montáž dveří, oc. zárubeň, kyvné 1kř. š. do 1 m</t>
  </si>
  <si>
    <t>Dveře dřevěné vnitřní 1křídlové 700x1970mm dle specifikace v PD</t>
  </si>
  <si>
    <t>Dveře dřevěné vnitřní 1křídlové 800x1970mm dle specifikace v PD</t>
  </si>
  <si>
    <t>D1,2-M</t>
  </si>
  <si>
    <t>DS</t>
  </si>
  <si>
    <t>T01</t>
  </si>
  <si>
    <t xml:space="preserve">Galerka s LED osvětlením, 60x60x14cm, WENGE, ref. výrobek AQUALINE - ZOJA/KERAMIA FRESH </t>
  </si>
  <si>
    <t>KDI1-D</t>
  </si>
  <si>
    <t>KDI1-M</t>
  </si>
  <si>
    <r>
      <t>Keramická dlažba 300/1200mm dle specifikace</t>
    </r>
    <r>
      <rPr>
        <i/>
        <sz val="10"/>
        <color indexed="40"/>
        <rFont val="Arial"/>
        <family val="2"/>
      </rPr>
      <t xml:space="preserve"> </t>
    </r>
    <r>
      <rPr>
        <i/>
        <sz val="10"/>
        <color indexed="49"/>
        <rFont val="Arial"/>
        <family val="2"/>
      </rPr>
      <t>v PD vč. prořezu 10%, včetně lepícího tmelu</t>
    </r>
  </si>
  <si>
    <t>Lišta hliníková, přechodová, Podrobně viz tabulka prvků PSV</t>
  </si>
  <si>
    <t>775592000R00</t>
  </si>
  <si>
    <t>Broušení dřevěných podlah hrubé+střední+jemné</t>
  </si>
  <si>
    <t>775599130R00</t>
  </si>
  <si>
    <t xml:space="preserve">Tmelení spár parket pryskyřicí, odhad 20% plochy </t>
  </si>
  <si>
    <t>DP2</t>
  </si>
  <si>
    <t>Demontáž sprchy včetně vybourání obezdezdívky</t>
  </si>
  <si>
    <t>Uzávěrka zápachová pračková (myčka) podomítková,plast. krytka</t>
  </si>
  <si>
    <t>725869203R00_P</t>
  </si>
  <si>
    <t>https://www.vodo-plasttop.cz/podomitkova-zapachova-uzaverka-hl405-sifon-prackovy</t>
  </si>
  <si>
    <t>https://www.vodo-plasttop.cz/sifon-prackovy-podomitkovy-bily-eppp450</t>
  </si>
  <si>
    <t>Stavební přípomoce - drážky, prostupy, zapravení</t>
  </si>
  <si>
    <t>spínač č.7 - křížový</t>
  </si>
  <si>
    <t>proudový chránič 10/1N/0,03</t>
  </si>
  <si>
    <t>REZERVA</t>
  </si>
  <si>
    <t>766812114R00_P</t>
  </si>
  <si>
    <t>721171808R00_P</t>
  </si>
  <si>
    <t>Demontáž připojovacího potrubí kanalizace</t>
  </si>
  <si>
    <t>722260902R00_P</t>
  </si>
  <si>
    <t>Montáž otopných těles koupelnových (žebříků)</t>
  </si>
  <si>
    <t>735179110R00</t>
  </si>
  <si>
    <t>zakladní dveře , soolodoor, polar 22</t>
  </si>
  <si>
    <t>odlehcena DTD</t>
  </si>
  <si>
    <t>m.č. 206.5 = 0,48*2,005+(0,62+0,53)*1,344 +0,3</t>
  </si>
  <si>
    <t>Radiátorová armatura s přednastavením rohová pro stř. p. G3/4,pro jednotrubkový systém, bez hlavice</t>
  </si>
  <si>
    <t>žebřík</t>
  </si>
  <si>
    <t>551200121_P</t>
  </si>
  <si>
    <t>551200021_P</t>
  </si>
  <si>
    <t>Revizní dvířka pro obkladání keramickým obkladem, s magnety 300/300mm dle PD (vana), včetně kotvícího materiálu</t>
  </si>
  <si>
    <t>https://www.palmat.cz/revizni-dvirka-pod-obklad-300x300-magneticka-mpcv11/</t>
  </si>
  <si>
    <t>DS1</t>
  </si>
  <si>
    <t>Podezdívka vany (1600/700mm) výšky do 600 mm  tl. 100 mm vč.provedení revizního otvoru pro dvířka (návaznosti na kanalizaci)</t>
  </si>
  <si>
    <t>Demontáž vestavěné skříně 0,6/2,2m</t>
  </si>
  <si>
    <t>m.č. 206.4 = 3,3-0,7*2,08</t>
  </si>
  <si>
    <t>m.č. 206.5 = 4,16-0,8*0,8</t>
  </si>
  <si>
    <t>962031123R00</t>
  </si>
  <si>
    <t>Bourání příček z cihel pálených děrovan. tl. 80 mm</t>
  </si>
  <si>
    <t>m.č. 206.2 = 0,62*2,63+4,12*2,635</t>
  </si>
  <si>
    <t>Zakrytí okenních výplní, parapetů, skříní a dveří PE folií vč. dodání</t>
  </si>
  <si>
    <t>206.5 = 1,88*1,2</t>
  </si>
  <si>
    <t>311271170R00_P</t>
  </si>
  <si>
    <t>Drobné dozdívky z keramického zdiva tl. 150mm (okno)</t>
  </si>
  <si>
    <t>206.4 = 3,3</t>
  </si>
  <si>
    <t>206.5 = 3,9+0,834*0,16+0,76*0,16</t>
  </si>
  <si>
    <t>642944121R00_P</t>
  </si>
  <si>
    <t xml:space="preserve">Osazení ocelové zárubně dodatečně do 2,5m2, včetně kotvících prvků, </t>
  </si>
  <si>
    <t>553308403_P</t>
  </si>
  <si>
    <t>553308402_P</t>
  </si>
  <si>
    <t>Zárubeň ocelová 700/1970mm do hotového otvoru, ústí do 100mm + ker. obklad, dle specifikace v PD, včetně těsnění a povrchové úpravy, RAL 9016 ref. výrobek solosteel</t>
  </si>
  <si>
    <t>Zárubeň ocelová 800/1970mm do hotového otvoru, ústí do 100mm (bez omítek), dle specifikace v PD, včetně těsnění a povrchové úpravy, RAL 9016 ref. výrobek solosteel</t>
  </si>
  <si>
    <t>783122111RT5</t>
  </si>
  <si>
    <t>28410102_P</t>
  </si>
  <si>
    <t>776421300R00</t>
  </si>
  <si>
    <t>Montáž fabionů k PVC podlahám do v.100 mm</t>
  </si>
  <si>
    <t>725240811R00_P</t>
  </si>
  <si>
    <t>Dřez jednoduchý 560x530mm s ocelovou plochou pro montáž baterie, nerez, se zápachovou uzávěrkou, specifikace dle PD</t>
  </si>
  <si>
    <t>735121810R00</t>
  </si>
  <si>
    <t>Demontáž otopných ocelových článkových těles</t>
  </si>
  <si>
    <t>733120815R00_P</t>
  </si>
  <si>
    <t>Svařovaný spoj potrubí ocelového hladkého</t>
  </si>
  <si>
    <t>735158220R00</t>
  </si>
  <si>
    <t>Montáž panelových těles 2 řadých do délky 1140mm</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</si>
  <si>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</si>
  <si>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</si>
  <si>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kpl</t>
  </si>
  <si>
    <t>m2</t>
  </si>
  <si>
    <t>Celkem</t>
  </si>
  <si>
    <t>ks</t>
  </si>
  <si>
    <t>m</t>
  </si>
  <si>
    <t>t</t>
  </si>
  <si>
    <t>počet</t>
  </si>
  <si>
    <t>celkem</t>
  </si>
  <si>
    <t>HZS</t>
  </si>
  <si>
    <t>%</t>
  </si>
  <si>
    <t>723290823R00</t>
  </si>
  <si>
    <t>Přesun vybouraných hmot - plynovody, H 12 - 24 m</t>
  </si>
  <si>
    <t>Odstranění násypu nebo nánosu tl. 5 - 10 cm, z ploch jednotlivě do 10 m2</t>
  </si>
  <si>
    <t xml:space="preserve">Omítka stropů, napraží vnitřní tenkovrstvá vápenná - štuk, ruční provedení, položka obsahuje nátěr podkladu spojovacím můstkem, </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</si>
  <si>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</si>
  <si>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</si>
  <si>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</si>
  <si>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</si>
  <si>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</si>
  <si>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</si>
  <si>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Deska EPS 100, tl.30mm, (500x1000mm)</t>
  </si>
  <si>
    <t>631361921RT1</t>
  </si>
  <si>
    <t>Výztuž mazanin svařovanou sítí průměr drátu  4,0, oka 100/100 mm KA16</t>
  </si>
  <si>
    <t>1m2/1,99kg</t>
  </si>
  <si>
    <t>631312611R00</t>
  </si>
  <si>
    <t>Mazanina betonová tl. 5 - 8 cm  C 16/20</t>
  </si>
  <si>
    <t>713121118RU1</t>
  </si>
  <si>
    <t>Montáž dilatačního pásku podél stěn vč. dodávky</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</si>
  <si>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</si>
  <si>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</si>
  <si>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</si>
  <si>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</si>
  <si>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</si>
  <si>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</si>
  <si>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</si>
  <si>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</si>
  <si>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</si>
  <si>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</si>
  <si>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</si>
  <si>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</si>
  <si>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Demontáž, uskladnění měřičů tepla těles UT a zpětná montáž, včetně zapsání stavu měřiče</t>
  </si>
  <si>
    <t>Zkouška plynu dle ČSN, zkouška tlaková</t>
  </si>
  <si>
    <t>735191910R00_P</t>
  </si>
  <si>
    <t>Napuštění topného systému včetně odvzdušnění,  (nutná spolupráce s firmou, která zajišťuje provoz kotelny)</t>
  </si>
  <si>
    <t>Předpoklad lokálních oprav, vložené nové části cca 5% z repasované plochy</t>
  </si>
  <si>
    <t>775591900R00_P</t>
  </si>
  <si>
    <t>Úprava, zkrácení potrubí ocelového bezešvého DN dle stávajícího potrubí</t>
  </si>
  <si>
    <t>849_Plzeňská 949_129_bj_6</t>
  </si>
  <si>
    <t>jen materiál</t>
  </si>
  <si>
    <t>LED svítidlo s vypínačem 10W – Hanys TL 2016-42 – pod linkou</t>
  </si>
  <si>
    <t>rámeček 4x, čtyřnásobný</t>
  </si>
  <si>
    <t>rozvodnice RB+ SLA</t>
  </si>
  <si>
    <t>frézování drážky na stěnách</t>
  </si>
  <si>
    <t>digestoře</t>
  </si>
  <si>
    <t>Materiál + montáž silnoproud celkem</t>
  </si>
  <si>
    <t>svodič přepětí SPB -12/280/1 B+C</t>
  </si>
  <si>
    <t>Rozvaděč RB celkem</t>
  </si>
  <si>
    <t>domácí telefon – nový přístroj</t>
  </si>
  <si>
    <t>DPH</t>
  </si>
  <si>
    <t>kombinovaný rozv. Media na povrch - pro SIL min.24+4 modulů + slaborpoudá část vč. držáku pro uchycení Routeru</t>
  </si>
  <si>
    <t>971033431R00_P</t>
  </si>
  <si>
    <t>775541800R00_P</t>
  </si>
  <si>
    <t xml:space="preserve">775541800R00 </t>
  </si>
  <si>
    <t xml:space="preserve">Demontáž laminátové podlahy </t>
  </si>
  <si>
    <t>342012225R00</t>
  </si>
  <si>
    <t>342090211R00</t>
  </si>
  <si>
    <t>Příčka z SDK s jednoduchým opláštěním MA tl. 12,5mm,  tl.100mm, vč. osazení minerální izolace tl. 60mm (15kg/m3), dodávky nosných profilů CW 75, tmelení, dle specifikace v PD</t>
  </si>
  <si>
    <t>Volně stojící předstěna z SDK s jednoduchým opláštěním sdk MA, tl.65mm, vč. minerální izolace tl. 40mm (15kg/m3), dodávky nosných profilů CW50, tmelení, broušení a zatmelení návazností na zděné stěny (akrylátovým tmelem), dle specifikace v PD</t>
  </si>
  <si>
    <t>342091051R00</t>
  </si>
  <si>
    <t>Příplatek za vytvoření kluzného napojení do 55 mm pro DS1, DS2</t>
  </si>
  <si>
    <t>Revizní dvířka otevíravá na dvojitý panty s tlačným zámkem 300/600mm pod obklad, dle PD (u uzávěru vody a vodměru), včetně kotvícího materiálu</t>
  </si>
  <si>
    <t>Revizní dvířka ocel. lakovaná na magnety 300/400mm dle PD (u uzávěru vody a vodměru - kuchyň), včetně kotvícího materiálu</t>
  </si>
  <si>
    <t>https://www.mrizkydvirka.cz/Revizni-dvirka-300x400-mm-bila-d484.htm?tab=description</t>
  </si>
  <si>
    <t>Otlučení omítek vnitřních stěn v rozsahu do 5 %</t>
  </si>
  <si>
    <t>978013111R00</t>
  </si>
  <si>
    <t>Oprava vápen.omítek stěn do 5 % pl. - hrubých</t>
  </si>
  <si>
    <t>612421111R00</t>
  </si>
  <si>
    <t xml:space="preserve">Omítka jádrová,jednovrstvá do tl. 20 mm, ručně  pro vyrovnání rovinnosti stávajícíh stěn v místě stávajících obkladů </t>
  </si>
  <si>
    <t>602011112RT5</t>
  </si>
  <si>
    <t>602016191R00_P</t>
  </si>
  <si>
    <t>Příplatek k obkladu stěn keram. za plochu do 10 m2</t>
  </si>
  <si>
    <t>206.2 = (3,35+0,6)*0,6+0,12*0,6</t>
  </si>
  <si>
    <t>206.4 délka = 1,2+1,47+0,95+1,2+(0,32+0,62)*2</t>
  </si>
  <si>
    <t>206.5 délka = 3*2,32+2,4+1,88+(0,32+0,62)*2</t>
  </si>
  <si>
    <t xml:space="preserve">Vstupní dveře - výměna bezpečnostního kování  (klika/koule) s překrytem cylindrické vložky vč. cylindrické vložky v bezpečnostní třídě 3.  </t>
  </si>
  <si>
    <t>Prah dřevěný dubový d. 800 mm, š.100mm, tl.20mm vč. povrchové úpravy epox. lak  a kotvení</t>
  </si>
  <si>
    <t>Nátěr stávající ocelové zárubně, 2x email</t>
  </si>
  <si>
    <t xml:space="preserve">Penetrace velmi savých podkladů 0,25l/m2 </t>
  </si>
  <si>
    <t>771575119RV6</t>
  </si>
  <si>
    <t xml:space="preserve">Tmelení spár silikonem, obklad - dlažba, obklad vnitřní rohy , tmelení návazností na zárubně, zařizovací předměty </t>
  </si>
  <si>
    <t>Případné dobetonování  v místech prostupů instalací stropní konstrukcí, bude účtováno dle skutečnosti</t>
  </si>
  <si>
    <t>722235112R00</t>
  </si>
  <si>
    <t>Kohout kulový DN 20, poniklovaná mosaz</t>
  </si>
  <si>
    <t>Baterie umyvadlová stoján. ruční páková, bez otvír.odpadu standard, výška výtoku min 95mm,  ve vodorovném směru min. 120 mm, vč.flexo hadiček, ref. výrobek Grohe Eurosmart Cosmopolitan bez výpusti chrom</t>
  </si>
  <si>
    <t>https://www.siko.cz/umyvadlova-baterie-grohe-eurosmart-cosmopolitan-bez-vypusti-chrom-2339800e/p/G2339800E#informace-o-produktu</t>
  </si>
  <si>
    <t>Baterie dřezová stojánková páková směšovací, chrom,výška min. 350mm, ve vodorovném směru min. 220 mm, vč.flexo hadiček, ref. výrobek Grohe Eurosmart Cosmopolitan s výpustí chrom</t>
  </si>
  <si>
    <t>https://www.siko.cz/drezova-baterie-grohe-eurosmart-cosmopolitan-s-vypusti-chrom-32843002/p/G32843002</t>
  </si>
  <si>
    <t>Baterie sprchová nástěnná páková včetně sprchového setu a příslušenství, ref. výrobek baterie Grohe Eurosmart Cosmopolitan bez sprchového setu 150 mm chrom + sprchový set Grohe New Tempesta Classic chrom</t>
  </si>
  <si>
    <t>https://www.siko.cz/sprchova-baterie-grohe-eurosmart-cosmopolitan-bez-sprchoveho-setu-150-mm-chrom-32837000/p/G32837000
https://www.siko.cz/sprchovy-set-grohe-new-tempesta-classic-chrom-2780310e/p/G2780310E?gclid=CjwKCAjwmeiIBhA6EiwA-uaeFTYoLQmipbQQkdxJ8XYBSznc4IzHiRSCa1egDCnwsQZGE_NYZKydihoCrnsQAvD_BwE</t>
  </si>
  <si>
    <t>728112112R00_P</t>
  </si>
  <si>
    <t>953945141RU1
945931101R00</t>
  </si>
  <si>
    <t xml:space="preserve">Montáž potrubí horolezeckou technikou vč. ukotvení  </t>
  </si>
  <si>
    <t>713411111R00</t>
  </si>
  <si>
    <t>Izolace tepelná potrubí rohožemi a drátem 1vrstvá</t>
  </si>
  <si>
    <t>Deska minerální vlákno - podélná TR10  tl. 40 mm</t>
  </si>
  <si>
    <t>735494811R00_P</t>
  </si>
  <si>
    <t>Uzavření a vypuštění stoupačky</t>
  </si>
  <si>
    <t>Úprava, přípojky na stoupací potrubí (koupelna)</t>
  </si>
  <si>
    <t xml:space="preserve">Tlakové zkoušky </t>
  </si>
  <si>
    <t xml:space="preserve">Termostatické hlavice ref. výrobek Heimeir K standard </t>
  </si>
  <si>
    <r>
      <t xml:space="preserve">Šroubení regulační radiátorové G 1/2 </t>
    </r>
    <r>
      <rPr>
        <i/>
        <sz val="10"/>
        <color indexed="49"/>
        <rFont val="Arial"/>
        <family val="2"/>
      </rPr>
      <t xml:space="preserve">s vypouštěním, ponikl. Bronz </t>
    </r>
    <r>
      <rPr>
        <i/>
        <sz val="10"/>
        <color indexed="49"/>
        <rFont val="Arial"/>
        <family val="2"/>
      </rPr>
      <t xml:space="preserve"> pro ocelové potrubí</t>
    </r>
  </si>
  <si>
    <t>Ventil závitový termostatický, G 1/2 bez hlavice, ref. výrobek Heimeir Calypso exact</t>
  </si>
  <si>
    <t>723190251R00_P</t>
  </si>
  <si>
    <t>Otvor v SDK, pro dveře 1kř do 50 kg, UA 75, 1xopl. u DS1, (pro vytvoření stavebního otvoru pro jednokřídlé dveře šířky do 800 mm)</t>
  </si>
  <si>
    <t>Repase oken (rámů a křídel s obou stran), dle specifikace v PD, vč. seřízení a vyčištění kování, osazení síťky proti hmyzu (ve výkazu uvedena plocha okna), v jednotkové ceně za m2 bude kalkulována úprava z obou stran</t>
  </si>
  <si>
    <t>Separační folie vodorovná, vč. přelepení spojů, vč. dodávky materiálu a prořezu 10%</t>
  </si>
  <si>
    <t>Rezerva - úprava komínové hlavy, manžeta protidešťová (M+D)</t>
  </si>
  <si>
    <t>725310823R00_P</t>
  </si>
  <si>
    <t>Demontáž dřezů 1dílných v kuchyňské sestavě</t>
  </si>
  <si>
    <t>766812840R00_P</t>
  </si>
  <si>
    <t>Demontáž kuchyňských linek do 2,1 m</t>
  </si>
  <si>
    <r>
      <rPr>
        <i/>
        <sz val="10"/>
        <rFont val="Arial CE"/>
        <family val="2"/>
      </rPr>
      <t>Datum/revize:</t>
    </r>
    <r>
      <rPr>
        <sz val="14"/>
        <rFont val="Arial CE"/>
        <family val="2"/>
      </rPr>
      <t xml:space="preserve"> 09/2021/R1</t>
    </r>
  </si>
  <si>
    <r>
      <rPr>
        <i/>
        <sz val="10"/>
        <rFont val="Arial CE"/>
        <family val="2"/>
      </rPr>
      <t>Cenová soustava:</t>
    </r>
    <r>
      <rPr>
        <sz val="14"/>
        <rFont val="Arial CE"/>
        <family val="2"/>
      </rPr>
      <t xml:space="preserve"> RTS - cenová hladina podzim 2021</t>
    </r>
  </si>
  <si>
    <t>612481211RT8</t>
  </si>
  <si>
    <t>611481211RT8</t>
  </si>
  <si>
    <t>602023147RT2_P</t>
  </si>
  <si>
    <t>lámací svorka, objímka se žarovkou</t>
  </si>
  <si>
    <t>Poznámka</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</si>
</sst>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 numFmtId="185" formatCode="[$-405]General"/>
    <numFmt numFmtId="186" formatCode="[$-405]#,##0.00"/>
    <numFmt numFmtId="187" formatCode="[$-405]0.00"/>
    <numFmt numFmtId="188" formatCode="[$-405]0%"/>
    <numFmt numFmtId="189" formatCode="_-* #,##0.00\ [$Kč-405]_-;\-* #,##0.00\ [$Kč-405]_-;_-* &quot;-&quot;??\ [$Kč-405]_-;_-@_-"/>
  </numFmts>
  <fonts count="77">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11"/>
      <name val="Arial CE"/>
      <family val="2"/>
    </font>
    <font>
      <b/>
      <sz val="10"/>
      <name val="Arial"/>
      <family val="2"/>
    </font>
    <font>
      <u val="single"/>
      <sz val="10"/>
      <color indexed="20"/>
      <name val="Arial CE"/>
      <family val="2"/>
    </font>
    <font>
      <i/>
      <sz val="10"/>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11"/>
      <color indexed="8"/>
      <name val="Arial CE"/>
      <family val="2"/>
    </font>
    <font>
      <sz val="10"/>
      <color indexed="10"/>
      <name val="Arial CE"/>
      <family val="2"/>
    </font>
    <font>
      <sz val="11"/>
      <color indexed="10"/>
      <name val="Arial CE"/>
      <family val="2"/>
    </font>
    <font>
      <i/>
      <sz val="10"/>
      <color indexed="30"/>
      <name val="Arial"/>
      <family val="2"/>
    </font>
    <font>
      <sz val="10"/>
      <color indexed="10"/>
      <name val="Arial"/>
      <family val="2"/>
    </font>
    <font>
      <i/>
      <vertAlign val="superscript"/>
      <sz val="10"/>
      <color indexed="49"/>
      <name val="Arial"/>
      <family val="2"/>
    </font>
    <font>
      <b/>
      <sz val="11"/>
      <name val="Calibri"/>
      <family val="2"/>
    </font>
    <font>
      <sz val="11"/>
      <name val="Calibri"/>
      <family val="2"/>
    </font>
    <font>
      <i/>
      <sz val="10"/>
      <color indexed="40"/>
      <name val="Arial"/>
      <family val="2"/>
    </font>
    <font>
      <b/>
      <sz val="8"/>
      <name val="Arial"/>
      <family val="2"/>
    </font>
    <font>
      <b/>
      <sz val="10"/>
      <color indexed="10"/>
      <name val="Arial CE"/>
      <family val="2"/>
    </font>
    <font>
      <i/>
      <sz val="10"/>
      <color indexed="15"/>
      <name val="Arial"/>
      <family val="2"/>
    </font>
    <font>
      <b/>
      <sz val="8"/>
      <color indexed="10"/>
      <name val="Arial CE"/>
      <family val="0"/>
    </font>
    <font>
      <i/>
      <sz val="8"/>
      <color indexed="49"/>
      <name val="Arial"/>
      <family val="2"/>
    </font>
    <font>
      <sz val="9"/>
      <name val="Arial"/>
      <family val="2"/>
    </font>
    <font>
      <sz val="8"/>
      <color indexed="10"/>
      <name val="Arial"/>
      <family val="2"/>
    </font>
    <font>
      <b/>
      <sz val="8"/>
      <name val="Arial CE"/>
      <family val="0"/>
    </font>
    <font>
      <i/>
      <sz val="8"/>
      <color indexed="30"/>
      <name val="Arial"/>
      <family val="2"/>
    </font>
    <font>
      <u val="single"/>
      <sz val="13"/>
      <name val="Arial CE"/>
      <family val="2"/>
    </font>
    <font>
      <sz val="10"/>
      <color indexed="8"/>
      <name val="Arial"/>
      <family val="2"/>
    </font>
    <font>
      <sz val="8"/>
      <color indexed="8"/>
      <name val="Arial"/>
      <family val="2"/>
    </font>
    <font>
      <b/>
      <sz val="8"/>
      <color indexed="8"/>
      <name val="Arial"/>
      <family val="2"/>
    </font>
    <font>
      <b/>
      <sz val="12"/>
      <color indexed="8"/>
      <name val="Arial"/>
      <family val="2"/>
    </font>
    <font>
      <sz val="8"/>
      <color indexed="8"/>
      <name val="Arial CE"/>
      <family val="0"/>
    </font>
    <font>
      <b/>
      <sz val="8"/>
      <color indexed="10"/>
      <name val="Arial"/>
      <family val="2"/>
    </font>
    <font>
      <i/>
      <sz val="10"/>
      <color indexed="10"/>
      <name val="Arial"/>
      <family val="2"/>
    </font>
    <font>
      <sz val="10"/>
      <color theme="1"/>
      <name val="Arial"/>
      <family val="2"/>
    </font>
    <font>
      <sz val="8"/>
      <color theme="1"/>
      <name val="Arial"/>
      <family val="2"/>
    </font>
    <font>
      <b/>
      <sz val="8"/>
      <color theme="1"/>
      <name val="Arial"/>
      <family val="2"/>
    </font>
    <font>
      <sz val="10"/>
      <color rgb="FFFF0000"/>
      <name val="Arial CE"/>
      <family val="2"/>
    </font>
    <font>
      <b/>
      <sz val="10"/>
      <color rgb="FFFF0000"/>
      <name val="Arial CE"/>
      <family val="2"/>
    </font>
    <font>
      <sz val="11"/>
      <color rgb="FFFF0000"/>
      <name val="Arial CE"/>
      <family val="2"/>
    </font>
    <font>
      <b/>
      <sz val="12"/>
      <color theme="1"/>
      <name val="Arial"/>
      <family val="2"/>
    </font>
    <font>
      <sz val="8"/>
      <color theme="1"/>
      <name val="Arial CE"/>
      <family val="0"/>
    </font>
    <font>
      <sz val="8"/>
      <color rgb="FFFF0000"/>
      <name val="Arial"/>
      <family val="2"/>
    </font>
    <font>
      <b/>
      <sz val="8"/>
      <color rgb="FFFF0000"/>
      <name val="Arial"/>
      <family val="2"/>
    </font>
    <font>
      <sz val="10"/>
      <color rgb="FFFF0000"/>
      <name val="Arial"/>
      <family val="2"/>
    </font>
    <font>
      <i/>
      <sz val="10"/>
      <color rgb="FFFF000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style="medium"/>
      <bottom style="hair"/>
    </border>
    <border>
      <left style="hair">
        <color indexed="8"/>
      </left>
      <right style="hair">
        <color indexed="8"/>
      </right>
      <top style="hair">
        <color indexed="8"/>
      </top>
      <bottom style="hair">
        <color indexed="8"/>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right/>
      <top/>
      <bottom style="thin">
        <color rgb="FF000000"/>
      </bottom>
    </border>
    <border>
      <left/>
      <right>
        <color indexed="63"/>
      </right>
      <top style="hair"/>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bottom style="thin"/>
    </border>
    <border>
      <left>
        <color indexed="63"/>
      </left>
      <right style="thin"/>
      <top style="thin"/>
      <bottom style="thin"/>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185" fontId="65" fillId="0" borderId="0">
      <alignment/>
      <protection/>
    </xf>
    <xf numFmtId="188" fontId="65" fillId="0" borderId="0">
      <alignment/>
      <protection/>
    </xf>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31" fillId="0" borderId="0" applyNumberFormat="0" applyFill="0" applyBorder="0" applyAlignment="0" applyProtection="0"/>
    <xf numFmtId="0" fontId="0" fillId="4" borderId="5" applyNumberFormat="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420">
    <xf numFmtId="0" fontId="0" fillId="0" borderId="0" xfId="0" applyAlignment="1">
      <alignment/>
    </xf>
    <xf numFmtId="0" fontId="0" fillId="0" borderId="0" xfId="0" applyFont="1" applyAlignment="1">
      <alignment/>
    </xf>
    <xf numFmtId="0" fontId="20" fillId="0" borderId="0" xfId="0" applyFont="1" applyAlignment="1">
      <alignment/>
    </xf>
    <xf numFmtId="0" fontId="0" fillId="0" borderId="0" xfId="0" applyFont="1" applyFill="1" applyAlignment="1">
      <alignment/>
    </xf>
    <xf numFmtId="0" fontId="29" fillId="0" borderId="0" xfId="0" applyFont="1" applyAlignment="1">
      <alignment/>
    </xf>
    <xf numFmtId="167" fontId="1" fillId="0" borderId="0" xfId="0" applyNumberFormat="1" applyFont="1" applyFill="1" applyBorder="1" applyAlignment="1">
      <alignment horizontal="right" vertical="center"/>
    </xf>
    <xf numFmtId="0" fontId="0" fillId="0" borderId="0" xfId="0" applyFill="1" applyAlignment="1">
      <alignment/>
    </xf>
    <xf numFmtId="0" fontId="29" fillId="0" borderId="0" xfId="0" applyFont="1" applyFill="1" applyAlignment="1">
      <alignment/>
    </xf>
    <xf numFmtId="170" fontId="0" fillId="0" borderId="0" xfId="0" applyNumberFormat="1" applyFont="1" applyAlignment="1">
      <alignment/>
    </xf>
    <xf numFmtId="170" fontId="20" fillId="0" borderId="0" xfId="0" applyNumberFormat="1" applyFont="1" applyAlignment="1">
      <alignment/>
    </xf>
    <xf numFmtId="0" fontId="20" fillId="0" borderId="0" xfId="0" applyFont="1" applyAlignment="1">
      <alignment/>
    </xf>
    <xf numFmtId="170" fontId="0" fillId="0" borderId="0" xfId="0" applyNumberFormat="1" applyFont="1" applyFill="1" applyAlignment="1">
      <alignment/>
    </xf>
    <xf numFmtId="0" fontId="33" fillId="0" borderId="0" xfId="0" applyFont="1" applyAlignment="1">
      <alignment/>
    </xf>
    <xf numFmtId="0" fontId="40" fillId="0" borderId="0" xfId="0" applyFont="1" applyFill="1" applyAlignment="1">
      <alignment/>
    </xf>
    <xf numFmtId="0" fontId="19" fillId="0" borderId="9" xfId="0" applyFont="1" applyBorder="1" applyAlignment="1">
      <alignment horizontal="right"/>
    </xf>
    <xf numFmtId="0" fontId="0" fillId="0" borderId="0" xfId="0" applyFont="1" applyAlignment="1">
      <alignment/>
    </xf>
    <xf numFmtId="183" fontId="1" fillId="0" borderId="0" xfId="59"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6" borderId="0" xfId="0" applyFont="1" applyFill="1" applyAlignment="1" applyProtection="1">
      <alignment vertical="center"/>
      <protection/>
    </xf>
    <xf numFmtId="0" fontId="0" fillId="0" borderId="0" xfId="0" applyFont="1" applyAlignment="1" applyProtection="1">
      <alignment/>
      <protection/>
    </xf>
    <xf numFmtId="167" fontId="0" fillId="0" borderId="0" xfId="0" applyNumberFormat="1" applyFont="1" applyAlignment="1" applyProtection="1">
      <alignment/>
      <protection/>
    </xf>
    <xf numFmtId="0" fontId="0" fillId="0" borderId="0" xfId="0" applyFont="1" applyAlignment="1" applyProtection="1">
      <alignment vertical="center"/>
      <protection/>
    </xf>
    <xf numFmtId="0" fontId="21" fillId="0" borderId="10" xfId="0" applyFont="1" applyBorder="1" applyAlignment="1" applyProtection="1">
      <alignment vertical="center"/>
      <protection/>
    </xf>
    <xf numFmtId="0" fontId="0" fillId="0" borderId="11" xfId="0" applyFont="1" applyBorder="1" applyAlignment="1" applyProtection="1">
      <alignment/>
      <protection/>
    </xf>
    <xf numFmtId="167" fontId="0" fillId="0" borderId="11" xfId="0" applyNumberFormat="1" applyFont="1" applyBorder="1" applyAlignment="1" applyProtection="1">
      <alignment/>
      <protection/>
    </xf>
    <xf numFmtId="0" fontId="21" fillId="0" borderId="12" xfId="0" applyFont="1" applyBorder="1" applyAlignment="1" applyProtection="1">
      <alignment horizontal="right"/>
      <protection/>
    </xf>
    <xf numFmtId="0" fontId="23" fillId="0" borderId="13" xfId="0" applyFont="1" applyBorder="1" applyAlignment="1" applyProtection="1">
      <alignment vertical="center"/>
      <protection/>
    </xf>
    <xf numFmtId="0" fontId="0" fillId="0" borderId="14" xfId="0" applyFont="1" applyBorder="1" applyAlignment="1" applyProtection="1">
      <alignment/>
      <protection/>
    </xf>
    <xf numFmtId="167" fontId="0" fillId="0" borderId="14" xfId="0" applyNumberFormat="1" applyFont="1" applyBorder="1" applyAlignment="1" applyProtection="1">
      <alignment/>
      <protection/>
    </xf>
    <xf numFmtId="0" fontId="24" fillId="0" borderId="15" xfId="0" applyFont="1" applyBorder="1" applyAlignment="1" applyProtection="1">
      <alignment horizontal="right"/>
      <protection/>
    </xf>
    <xf numFmtId="0" fontId="0" fillId="0" borderId="0" xfId="68" applyNumberFormat="1" applyFont="1" applyFill="1" applyBorder="1" applyAlignment="1" applyProtection="1">
      <alignment horizontal="left" vertical="center"/>
      <protection/>
    </xf>
    <xf numFmtId="0" fontId="25" fillId="17" borderId="16" xfId="56" applyNumberFormat="1" applyFill="1" applyBorder="1" applyAlignment="1" applyProtection="1">
      <alignment horizontal="left" vertical="center"/>
      <protection/>
    </xf>
    <xf numFmtId="0" fontId="20" fillId="17" borderId="16" xfId="0" applyFont="1" applyFill="1" applyBorder="1" applyAlignment="1" applyProtection="1">
      <alignment/>
      <protection/>
    </xf>
    <xf numFmtId="176" fontId="20" fillId="0" borderId="16" xfId="0" applyNumberFormat="1" applyFont="1" applyBorder="1" applyAlignment="1" applyProtection="1">
      <alignment/>
      <protection/>
    </xf>
    <xf numFmtId="0" fontId="0" fillId="0" borderId="0" xfId="68" applyNumberFormat="1" applyFont="1" applyFill="1" applyBorder="1" applyAlignment="1" applyProtection="1">
      <alignment horizontal="left" vertical="center" indent="1"/>
      <protection/>
    </xf>
    <xf numFmtId="0" fontId="0" fillId="0" borderId="0" xfId="68" applyNumberFormat="1" applyFont="1" applyFill="1" applyBorder="1" applyAlignment="1" applyProtection="1">
      <alignment horizontal="left" vertical="center" indent="1"/>
      <protection/>
    </xf>
    <xf numFmtId="0" fontId="0" fillId="0" borderId="0" xfId="68" applyFont="1" applyFill="1" applyAlignment="1" applyProtection="1">
      <alignment horizontal="left" vertical="center" indent="1"/>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17" xfId="0" applyFont="1" applyBorder="1" applyAlignment="1" applyProtection="1">
      <alignment vertical="center"/>
      <protection/>
    </xf>
    <xf numFmtId="0" fontId="0" fillId="0" borderId="17" xfId="0" applyFont="1" applyBorder="1" applyAlignment="1" applyProtection="1">
      <alignment/>
      <protection/>
    </xf>
    <xf numFmtId="0" fontId="0" fillId="0" borderId="17" xfId="0" applyFont="1" applyBorder="1" applyAlignment="1" applyProtection="1">
      <alignment vertical="center"/>
      <protection/>
    </xf>
    <xf numFmtId="167" fontId="0" fillId="0" borderId="17" xfId="0" applyNumberFormat="1" applyFont="1" applyBorder="1" applyAlignment="1" applyProtection="1">
      <alignment/>
      <protection/>
    </xf>
    <xf numFmtId="3" fontId="20" fillId="0" borderId="17" xfId="0" applyNumberFormat="1" applyFont="1" applyBorder="1" applyAlignment="1" applyProtection="1">
      <alignment/>
      <protection/>
    </xf>
    <xf numFmtId="3" fontId="0" fillId="0" borderId="17" xfId="0" applyNumberFormat="1" applyFont="1" applyBorder="1" applyAlignment="1" applyProtection="1">
      <alignment horizontal="right"/>
      <protection/>
    </xf>
    <xf numFmtId="176" fontId="20" fillId="0" borderId="17" xfId="0" applyNumberFormat="1" applyFont="1" applyBorder="1" applyAlignment="1" applyProtection="1">
      <alignment/>
      <protection/>
    </xf>
    <xf numFmtId="176" fontId="0" fillId="0" borderId="17" xfId="0" applyNumberFormat="1"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protection/>
    </xf>
    <xf numFmtId="0" fontId="26" fillId="0" borderId="19" xfId="0" applyFont="1" applyBorder="1" applyAlignment="1" applyProtection="1">
      <alignment vertical="center"/>
      <protection/>
    </xf>
    <xf numFmtId="0" fontId="0" fillId="0" borderId="20" xfId="0" applyFont="1" applyBorder="1" applyAlignment="1" applyProtection="1">
      <alignment/>
      <protection/>
    </xf>
    <xf numFmtId="167" fontId="0" fillId="0" borderId="20" xfId="0" applyNumberFormat="1" applyFont="1" applyBorder="1" applyAlignment="1" applyProtection="1">
      <alignment/>
      <protection/>
    </xf>
    <xf numFmtId="176" fontId="20" fillId="0" borderId="21"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2" xfId="0" applyFont="1" applyBorder="1" applyAlignment="1" applyProtection="1">
      <alignment/>
      <protection/>
    </xf>
    <xf numFmtId="167" fontId="0" fillId="0" borderId="22" xfId="0" applyNumberFormat="1" applyFont="1" applyBorder="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27" fillId="0" borderId="23" xfId="0" applyFont="1" applyBorder="1" applyAlignment="1" applyProtection="1">
      <alignment vertical="center"/>
      <protection/>
    </xf>
    <xf numFmtId="0" fontId="35" fillId="0" borderId="0" xfId="0" applyFont="1" applyFill="1" applyBorder="1" applyAlignment="1" applyProtection="1">
      <alignment horizontal="left"/>
      <protection/>
    </xf>
    <xf numFmtId="0" fontId="0" fillId="0" borderId="0" xfId="0" applyAlignment="1" applyProtection="1">
      <alignment/>
      <protection/>
    </xf>
    <xf numFmtId="0" fontId="36" fillId="0" borderId="0" xfId="0" applyFont="1" applyFill="1" applyBorder="1" applyAlignment="1" applyProtection="1">
      <alignment horizontal="left"/>
      <protection/>
    </xf>
    <xf numFmtId="182" fontId="36" fillId="0" borderId="0" xfId="0" applyNumberFormat="1" applyFont="1" applyAlignment="1" applyProtection="1">
      <alignment/>
      <protection/>
    </xf>
    <xf numFmtId="183" fontId="20" fillId="0" borderId="0" xfId="0" applyNumberFormat="1" applyFont="1" applyAlignment="1" applyProtection="1">
      <alignment/>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49" fontId="2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0" fontId="25" fillId="18" borderId="24" xfId="56" applyNumberForma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6" xfId="0" applyNumberFormat="1" applyFont="1" applyFill="1" applyBorder="1" applyAlignment="1" applyProtection="1">
      <alignment horizontal="left" vertical="center" wrapText="1"/>
      <protection/>
    </xf>
    <xf numFmtId="3" fontId="1" fillId="0" borderId="16" xfId="0" applyNumberFormat="1" applyFont="1" applyFill="1" applyBorder="1" applyAlignment="1" applyProtection="1">
      <alignment horizontal="left" vertical="center"/>
      <protection/>
    </xf>
    <xf numFmtId="177" fontId="1" fillId="0" borderId="16" xfId="0" applyNumberFormat="1" applyFont="1" applyFill="1" applyBorder="1" applyAlignment="1" applyProtection="1">
      <alignment vertical="center"/>
      <protection/>
    </xf>
    <xf numFmtId="3" fontId="1" fillId="0" borderId="16" xfId="0" applyNumberFormat="1" applyFont="1" applyBorder="1" applyAlignment="1" applyProtection="1">
      <alignment horizontal="left" vertical="center" wrapText="1"/>
      <protection/>
    </xf>
    <xf numFmtId="167" fontId="42" fillId="0" borderId="16" xfId="0" applyNumberFormat="1" applyFont="1" applyFill="1" applyBorder="1" applyAlignment="1" applyProtection="1">
      <alignment horizontal="left" vertical="center"/>
      <protection/>
    </xf>
    <xf numFmtId="3" fontId="1" fillId="0" borderId="16" xfId="0" applyNumberFormat="1" applyFont="1" applyBorder="1" applyAlignment="1" applyProtection="1">
      <alignment horizontal="left" vertical="center"/>
      <protection/>
    </xf>
    <xf numFmtId="177" fontId="1" fillId="0" borderId="16" xfId="0" applyNumberFormat="1" applyFont="1" applyBorder="1" applyAlignment="1" applyProtection="1">
      <alignment vertical="center"/>
      <protection/>
    </xf>
    <xf numFmtId="0" fontId="30" fillId="6" borderId="25" xfId="68" applyFont="1" applyFill="1" applyBorder="1" applyAlignment="1" applyProtection="1">
      <alignment vertical="center" wrapText="1"/>
      <protection/>
    </xf>
    <xf numFmtId="0" fontId="1" fillId="6" borderId="26" xfId="68" applyFont="1" applyFill="1" applyBorder="1" applyProtection="1">
      <alignment/>
      <protection/>
    </xf>
    <xf numFmtId="177" fontId="1" fillId="6" borderId="21" xfId="0" applyNumberFormat="1" applyFont="1" applyFill="1" applyBorder="1" applyAlignment="1" applyProtection="1">
      <alignment/>
      <protection/>
    </xf>
    <xf numFmtId="0" fontId="0" fillId="0" borderId="0" xfId="68" applyFont="1" applyFill="1" applyBorder="1" applyAlignment="1" applyProtection="1">
      <alignment vertical="center" wrapText="1"/>
      <protection/>
    </xf>
    <xf numFmtId="0" fontId="0" fillId="0" borderId="0" xfId="68"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2" fillId="0" borderId="16" xfId="0" applyNumberFormat="1" applyFont="1" applyBorder="1" applyAlignment="1" applyProtection="1">
      <alignment horizontal="left" vertical="center"/>
      <protection/>
    </xf>
    <xf numFmtId="0" fontId="0" fillId="0" borderId="27" xfId="68" applyFont="1" applyFill="1" applyBorder="1" applyAlignment="1" applyProtection="1">
      <alignment vertical="center" wrapText="1"/>
      <protection/>
    </xf>
    <xf numFmtId="0" fontId="20" fillId="6" borderId="25" xfId="68" applyFont="1" applyFill="1" applyBorder="1" applyAlignment="1" applyProtection="1">
      <alignment vertical="center" wrapText="1"/>
      <protection/>
    </xf>
    <xf numFmtId="0" fontId="0" fillId="6" borderId="26" xfId="68" applyFont="1" applyFill="1" applyBorder="1" applyProtection="1">
      <alignment/>
      <protection/>
    </xf>
    <xf numFmtId="167" fontId="0" fillId="6" borderId="26" xfId="0" applyNumberFormat="1" applyFont="1" applyFill="1" applyBorder="1" applyAlignment="1" applyProtection="1">
      <alignment/>
      <protection/>
    </xf>
    <xf numFmtId="3" fontId="34" fillId="0" borderId="0" xfId="0" applyNumberFormat="1" applyFont="1" applyFill="1" applyBorder="1" applyAlignment="1" applyProtection="1">
      <alignment horizontal="center" vertical="center"/>
      <protection/>
    </xf>
    <xf numFmtId="3" fontId="34" fillId="0" borderId="16" xfId="0" applyNumberFormat="1" applyFont="1" applyFill="1" applyBorder="1" applyAlignment="1" applyProtection="1">
      <alignment horizontal="left" vertical="center" wrapText="1"/>
      <protection/>
    </xf>
    <xf numFmtId="3" fontId="34" fillId="0" borderId="16" xfId="0" applyNumberFormat="1" applyFont="1" applyFill="1" applyBorder="1" applyAlignment="1" applyProtection="1">
      <alignment horizontal="left" vertical="center"/>
      <protection/>
    </xf>
    <xf numFmtId="177" fontId="34" fillId="0" borderId="16"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protection locked="0"/>
    </xf>
    <xf numFmtId="167" fontId="40" fillId="0" borderId="0" xfId="0" applyNumberFormat="1" applyFont="1" applyBorder="1" applyAlignment="1" applyProtection="1">
      <alignment/>
      <protection locked="0"/>
    </xf>
    <xf numFmtId="170" fontId="42" fillId="0" borderId="16" xfId="0" applyNumberFormat="1" applyFont="1" applyFill="1" applyBorder="1" applyAlignment="1" applyProtection="1">
      <alignment horizontal="left" vertical="center"/>
      <protection/>
    </xf>
    <xf numFmtId="0" fontId="40" fillId="0" borderId="0" xfId="0" applyFont="1" applyAlignment="1">
      <alignment/>
    </xf>
    <xf numFmtId="0" fontId="0" fillId="0" borderId="0" xfId="0" applyFont="1" applyAlignment="1" applyProtection="1">
      <alignment/>
      <protection locked="0"/>
    </xf>
    <xf numFmtId="3" fontId="1" fillId="19" borderId="24" xfId="0" applyNumberFormat="1" applyFont="1" applyFill="1" applyBorder="1" applyAlignment="1" applyProtection="1">
      <alignment vertical="center" wrapText="1"/>
      <protection/>
    </xf>
    <xf numFmtId="3" fontId="32" fillId="19" borderId="24" xfId="0" applyNumberFormat="1" applyFont="1" applyFill="1" applyBorder="1" applyAlignment="1" applyProtection="1">
      <alignment vertical="center" wrapText="1"/>
      <protection/>
    </xf>
    <xf numFmtId="0" fontId="25" fillId="18" borderId="24" xfId="56" applyNumberFormat="1" applyFont="1" applyFill="1" applyBorder="1" applyAlignment="1" applyProtection="1">
      <alignment vertical="center"/>
      <protection/>
    </xf>
    <xf numFmtId="170" fontId="0" fillId="0" borderId="0" xfId="0" applyNumberFormat="1" applyAlignment="1">
      <alignment/>
    </xf>
    <xf numFmtId="0" fontId="25" fillId="0" borderId="0" xfId="56" applyAlignment="1">
      <alignment/>
    </xf>
    <xf numFmtId="167" fontId="42" fillId="0" borderId="16" xfId="0" applyNumberFormat="1" applyFont="1" applyFill="1" applyBorder="1" applyAlignment="1" applyProtection="1">
      <alignment horizontal="left" vertical="center" wrapText="1"/>
      <protection/>
    </xf>
    <xf numFmtId="0" fontId="25" fillId="18" borderId="28" xfId="56" applyNumberFormat="1" applyFill="1" applyBorder="1" applyAlignment="1" applyProtection="1">
      <alignment vertical="center"/>
      <protection/>
    </xf>
    <xf numFmtId="0" fontId="25" fillId="18" borderId="24" xfId="56" applyFill="1" applyBorder="1" applyAlignment="1" applyProtection="1">
      <alignment vertical="center"/>
      <protection/>
    </xf>
    <xf numFmtId="177" fontId="1" fillId="20" borderId="16" xfId="0" applyNumberFormat="1" applyFont="1" applyFill="1" applyBorder="1" applyAlignment="1" applyProtection="1">
      <alignment vertical="center"/>
      <protection/>
    </xf>
    <xf numFmtId="176" fontId="20" fillId="0" borderId="0" xfId="0" applyNumberFormat="1" applyFont="1" applyAlignment="1">
      <alignment/>
    </xf>
    <xf numFmtId="0" fontId="25" fillId="17" borderId="16" xfId="56" applyNumberFormat="1" applyFont="1" applyFill="1" applyBorder="1" applyAlignment="1" applyProtection="1">
      <alignment horizontal="left" vertical="center"/>
      <protection/>
    </xf>
    <xf numFmtId="177" fontId="40" fillId="0" borderId="0" xfId="0" applyNumberFormat="1" applyFont="1" applyAlignment="1" applyProtection="1">
      <alignment/>
      <protection locked="0"/>
    </xf>
    <xf numFmtId="0" fontId="19" fillId="0" borderId="29" xfId="0" applyFont="1" applyBorder="1" applyAlignment="1" applyProtection="1">
      <alignment horizontal="right" wrapText="1"/>
      <protection/>
    </xf>
    <xf numFmtId="180" fontId="1" fillId="20" borderId="16" xfId="0" applyNumberFormat="1" applyFont="1" applyFill="1" applyBorder="1" applyAlignment="1" applyProtection="1">
      <alignment vertical="center"/>
      <protection/>
    </xf>
    <xf numFmtId="170" fontId="0" fillId="0" borderId="0" xfId="0" applyNumberFormat="1" applyFont="1" applyAlignment="1" applyProtection="1">
      <alignment/>
      <protection/>
    </xf>
    <xf numFmtId="170" fontId="0" fillId="0" borderId="11" xfId="0" applyNumberFormat="1" applyFont="1" applyBorder="1" applyAlignment="1" applyProtection="1">
      <alignment/>
      <protection/>
    </xf>
    <xf numFmtId="170" fontId="0" fillId="0" borderId="14" xfId="0" applyNumberFormat="1" applyFont="1" applyBorder="1" applyAlignment="1" applyProtection="1">
      <alignment/>
      <protection/>
    </xf>
    <xf numFmtId="170" fontId="20" fillId="0" borderId="16"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17" xfId="0" applyNumberFormat="1" applyFont="1" applyBorder="1" applyAlignment="1" applyProtection="1">
      <alignment/>
      <protection/>
    </xf>
    <xf numFmtId="170" fontId="0" fillId="0" borderId="17" xfId="0" applyNumberFormat="1" applyFont="1" applyBorder="1" applyAlignment="1" applyProtection="1">
      <alignment/>
      <protection/>
    </xf>
    <xf numFmtId="170" fontId="0" fillId="0" borderId="18" xfId="0" applyNumberFormat="1" applyFont="1" applyBorder="1" applyAlignment="1" applyProtection="1">
      <alignment/>
      <protection/>
    </xf>
    <xf numFmtId="170" fontId="0" fillId="0" borderId="20" xfId="0" applyNumberFormat="1" applyFont="1" applyBorder="1" applyAlignment="1" applyProtection="1">
      <alignment/>
      <protection/>
    </xf>
    <xf numFmtId="170" fontId="0" fillId="0" borderId="22" xfId="0" applyNumberFormat="1" applyFont="1" applyBorder="1" applyAlignment="1" applyProtection="1">
      <alignment/>
      <protection/>
    </xf>
    <xf numFmtId="170" fontId="0" fillId="0" borderId="23" xfId="0" applyNumberFormat="1" applyFont="1" applyBorder="1" applyAlignment="1" applyProtection="1">
      <alignment/>
      <protection/>
    </xf>
    <xf numFmtId="170" fontId="0" fillId="0" borderId="0" xfId="0" applyNumberFormat="1" applyAlignment="1" applyProtection="1">
      <alignment/>
      <protection/>
    </xf>
    <xf numFmtId="170" fontId="0" fillId="0" borderId="0" xfId="0" applyNumberFormat="1" applyFont="1" applyFill="1" applyBorder="1" applyAlignment="1" applyProtection="1">
      <alignment/>
      <protection/>
    </xf>
    <xf numFmtId="170" fontId="1" fillId="0" borderId="16" xfId="0" applyNumberFormat="1" applyFont="1" applyFill="1" applyBorder="1" applyAlignment="1" applyProtection="1">
      <alignment horizontal="right" vertical="center"/>
      <protection/>
    </xf>
    <xf numFmtId="170" fontId="1" fillId="0" borderId="16" xfId="0" applyNumberFormat="1" applyFont="1" applyFill="1" applyBorder="1" applyAlignment="1" applyProtection="1">
      <alignment horizontal="right" vertical="center"/>
      <protection hidden="1"/>
    </xf>
    <xf numFmtId="170" fontId="1" fillId="6" borderId="26" xfId="0" applyNumberFormat="1" applyFont="1" applyFill="1" applyBorder="1" applyAlignment="1" applyProtection="1">
      <alignment/>
      <protection/>
    </xf>
    <xf numFmtId="170" fontId="25" fillId="18" borderId="24" xfId="56" applyNumberFormat="1" applyFill="1" applyBorder="1" applyAlignment="1" applyProtection="1">
      <alignment vertical="center"/>
      <protection/>
    </xf>
    <xf numFmtId="170" fontId="1" fillId="0" borderId="16" xfId="0" applyNumberFormat="1" applyFont="1" applyBorder="1" applyAlignment="1" applyProtection="1">
      <alignment horizontal="right" vertical="center"/>
      <protection/>
    </xf>
    <xf numFmtId="170" fontId="34" fillId="0" borderId="16" xfId="0" applyNumberFormat="1" applyFont="1" applyFill="1" applyBorder="1" applyAlignment="1" applyProtection="1">
      <alignment horizontal="right" vertical="center"/>
      <protection/>
    </xf>
    <xf numFmtId="170" fontId="0" fillId="6" borderId="26" xfId="0" applyNumberFormat="1" applyFont="1" applyFill="1" applyBorder="1" applyAlignment="1" applyProtection="1">
      <alignment/>
      <protection/>
    </xf>
    <xf numFmtId="170" fontId="25" fillId="18" borderId="28" xfId="56" applyNumberFormat="1" applyFill="1" applyBorder="1" applyAlignment="1" applyProtection="1">
      <alignment vertical="center"/>
      <protection/>
    </xf>
    <xf numFmtId="2" fontId="1" fillId="0" borderId="16" xfId="0" applyNumberFormat="1" applyFont="1" applyBorder="1" applyAlignment="1" applyProtection="1">
      <alignment horizontal="right" vertical="center"/>
      <protection hidden="1"/>
    </xf>
    <xf numFmtId="170" fontId="1" fillId="0" borderId="16" xfId="0" applyNumberFormat="1" applyFont="1" applyBorder="1" applyAlignment="1" applyProtection="1">
      <alignment horizontal="right" vertical="center"/>
      <protection hidden="1"/>
    </xf>
    <xf numFmtId="0" fontId="33" fillId="0" borderId="0" xfId="0" applyFont="1" applyAlignment="1">
      <alignment horizontal="center"/>
    </xf>
    <xf numFmtId="0" fontId="25" fillId="18" borderId="0" xfId="56" applyNumberFormat="1" applyFill="1" applyBorder="1" applyAlignment="1" applyProtection="1">
      <alignment vertical="center"/>
      <protection/>
    </xf>
    <xf numFmtId="3" fontId="1" fillId="0" borderId="16" xfId="0" applyNumberFormat="1" applyFont="1" applyBorder="1" applyAlignment="1" applyProtection="1">
      <alignment horizontal="left" vertical="center"/>
      <protection hidden="1"/>
    </xf>
    <xf numFmtId="177" fontId="1" fillId="0" borderId="16" xfId="0" applyNumberFormat="1" applyFont="1" applyBorder="1" applyAlignment="1" applyProtection="1">
      <alignment vertical="center"/>
      <protection hidden="1"/>
    </xf>
    <xf numFmtId="0" fontId="0" fillId="0" borderId="0" xfId="0" applyAlignment="1" applyProtection="1">
      <alignment/>
      <protection hidden="1"/>
    </xf>
    <xf numFmtId="3" fontId="1" fillId="0" borderId="16" xfId="0" applyNumberFormat="1" applyFont="1" applyBorder="1" applyAlignment="1" applyProtection="1">
      <alignment horizontal="left" vertical="center" wrapText="1"/>
      <protection hidden="1"/>
    </xf>
    <xf numFmtId="3" fontId="1" fillId="0" borderId="0" xfId="0" applyNumberFormat="1" applyFont="1" applyFill="1" applyAlignment="1" applyProtection="1">
      <alignment horizontal="center" vertical="center"/>
      <protection hidden="1"/>
    </xf>
    <xf numFmtId="170" fontId="34" fillId="0" borderId="16" xfId="0" applyNumberFormat="1" applyFont="1" applyBorder="1" applyAlignment="1" applyProtection="1">
      <alignment horizontal="right" vertical="center"/>
      <protection hidden="1"/>
    </xf>
    <xf numFmtId="0" fontId="0" fillId="0" borderId="0" xfId="0" applyAlignment="1" applyProtection="1">
      <alignment/>
      <protection locked="0"/>
    </xf>
    <xf numFmtId="177" fontId="0" fillId="0" borderId="0" xfId="0" applyNumberFormat="1" applyAlignment="1">
      <alignment/>
    </xf>
    <xf numFmtId="0" fontId="37" fillId="0" borderId="0" xfId="0" applyFont="1" applyAlignment="1" applyProtection="1">
      <alignment horizontal="center" vertical="center"/>
      <protection locked="0"/>
    </xf>
    <xf numFmtId="0" fontId="25" fillId="0" borderId="0" xfId="56" applyAlignment="1" applyProtection="1">
      <alignment/>
      <protection/>
    </xf>
    <xf numFmtId="177" fontId="25" fillId="0" borderId="0" xfId="56" applyNumberFormat="1" applyAlignment="1" applyProtection="1">
      <alignment/>
      <protection/>
    </xf>
    <xf numFmtId="0" fontId="37" fillId="16" borderId="0" xfId="0" applyFont="1" applyFill="1" applyAlignment="1" applyProtection="1">
      <alignment horizontal="center" vertical="center"/>
      <protection locked="0"/>
    </xf>
    <xf numFmtId="0" fontId="0" fillId="0" borderId="0" xfId="0" applyAlignment="1" applyProtection="1">
      <alignment horizontal="center"/>
      <protection locked="0"/>
    </xf>
    <xf numFmtId="0" fontId="25" fillId="0" borderId="0" xfId="56" applyAlignment="1" applyProtection="1">
      <alignment/>
      <protection hidden="1"/>
    </xf>
    <xf numFmtId="3" fontId="34" fillId="0" borderId="16" xfId="0" applyNumberFormat="1" applyFont="1" applyBorder="1" applyAlignment="1" applyProtection="1">
      <alignment horizontal="left" vertical="center" wrapText="1"/>
      <protection hidden="1"/>
    </xf>
    <xf numFmtId="3" fontId="34" fillId="0" borderId="16" xfId="0" applyNumberFormat="1" applyFont="1" applyBorder="1" applyAlignment="1" applyProtection="1">
      <alignment horizontal="left" vertical="center"/>
      <protection hidden="1"/>
    </xf>
    <xf numFmtId="177" fontId="34" fillId="0" borderId="16" xfId="0" applyNumberFormat="1" applyFont="1" applyBorder="1" applyAlignment="1" applyProtection="1">
      <alignment vertical="center"/>
      <protection hidden="1"/>
    </xf>
    <xf numFmtId="0" fontId="0" fillId="0" borderId="27" xfId="68" applyFont="1" applyBorder="1" applyAlignment="1" applyProtection="1">
      <alignment vertical="center" wrapText="1"/>
      <protection hidden="1"/>
    </xf>
    <xf numFmtId="3" fontId="1" fillId="0" borderId="0" xfId="0" applyNumberFormat="1" applyFont="1" applyAlignment="1" applyProtection="1">
      <alignment horizontal="left" vertical="center"/>
      <protection hidden="1"/>
    </xf>
    <xf numFmtId="177" fontId="1" fillId="0" borderId="0" xfId="0" applyNumberFormat="1" applyFont="1" applyAlignment="1" applyProtection="1">
      <alignment vertical="center"/>
      <protection hidden="1"/>
    </xf>
    <xf numFmtId="3" fontId="34" fillId="0" borderId="0" xfId="0" applyNumberFormat="1" applyFont="1" applyFill="1" applyAlignment="1" applyProtection="1">
      <alignment horizontal="center" vertical="center"/>
      <protection hidden="1"/>
    </xf>
    <xf numFmtId="177" fontId="34" fillId="0" borderId="16" xfId="0" applyNumberFormat="1" applyFont="1" applyFill="1" applyBorder="1" applyAlignment="1" applyProtection="1">
      <alignment vertical="center"/>
      <protection hidden="1"/>
    </xf>
    <xf numFmtId="170" fontId="0" fillId="0" borderId="0" xfId="0" applyNumberFormat="1" applyAlignment="1" applyProtection="1">
      <alignment/>
      <protection hidden="1"/>
    </xf>
    <xf numFmtId="0" fontId="1" fillId="0" borderId="0" xfId="68" applyFont="1" applyFill="1" applyBorder="1" applyAlignment="1" applyProtection="1">
      <alignment/>
      <protection/>
    </xf>
    <xf numFmtId="0" fontId="0" fillId="0" borderId="0" xfId="0" applyFont="1" applyBorder="1" applyAlignment="1" applyProtection="1">
      <alignment/>
      <protection/>
    </xf>
    <xf numFmtId="0" fontId="20" fillId="0" borderId="0" xfId="0" applyFont="1" applyBorder="1" applyAlignment="1" applyProtection="1">
      <alignment/>
      <protection/>
    </xf>
    <xf numFmtId="0" fontId="0" fillId="0" borderId="0" xfId="68" applyFont="1" applyFill="1" applyBorder="1" applyAlignment="1" applyProtection="1">
      <alignment/>
      <protection/>
    </xf>
    <xf numFmtId="0" fontId="23" fillId="0" borderId="0" xfId="0" applyFont="1" applyBorder="1" applyAlignment="1" applyProtection="1">
      <alignment vertical="center"/>
      <protection/>
    </xf>
    <xf numFmtId="0" fontId="0" fillId="0" borderId="0" xfId="0" applyBorder="1" applyAlignment="1" applyProtection="1">
      <alignment/>
      <protection/>
    </xf>
    <xf numFmtId="2" fontId="0" fillId="0" borderId="0" xfId="0" applyNumberFormat="1" applyBorder="1" applyAlignment="1" applyProtection="1">
      <alignment/>
      <protection/>
    </xf>
    <xf numFmtId="0" fontId="24" fillId="0" borderId="0" xfId="0" applyFont="1" applyBorder="1" applyAlignment="1" applyProtection="1">
      <alignment horizontal="right"/>
      <protection/>
    </xf>
    <xf numFmtId="0" fontId="20" fillId="21" borderId="24" xfId="0" applyFont="1" applyFill="1" applyBorder="1" applyAlignment="1" applyProtection="1">
      <alignment horizontal="left"/>
      <protection/>
    </xf>
    <xf numFmtId="2" fontId="20" fillId="21" borderId="24" xfId="0" applyNumberFormat="1" applyFont="1" applyFill="1" applyBorder="1" applyAlignment="1" applyProtection="1">
      <alignment horizontal="right"/>
      <protection/>
    </xf>
    <xf numFmtId="0" fontId="20" fillId="21" borderId="24" xfId="0" applyFont="1" applyFill="1" applyBorder="1" applyAlignment="1" applyProtection="1">
      <alignment horizontal="right"/>
      <protection/>
    </xf>
    <xf numFmtId="0" fontId="20" fillId="21" borderId="0" xfId="0" applyFont="1" applyFill="1" applyAlignment="1" applyProtection="1">
      <alignment horizontal="left"/>
      <protection/>
    </xf>
    <xf numFmtId="2" fontId="20" fillId="21" borderId="0" xfId="0" applyNumberFormat="1" applyFont="1" applyFill="1" applyAlignment="1" applyProtection="1">
      <alignment horizontal="right"/>
      <protection/>
    </xf>
    <xf numFmtId="0" fontId="20" fillId="21" borderId="0" xfId="0" applyFont="1" applyFill="1" applyAlignment="1" applyProtection="1">
      <alignment horizontal="right"/>
      <protection/>
    </xf>
    <xf numFmtId="2" fontId="1" fillId="0" borderId="16" xfId="0" applyNumberFormat="1" applyFont="1" applyBorder="1" applyAlignment="1" applyProtection="1">
      <alignment horizontal="right" vertical="center"/>
      <protection/>
    </xf>
    <xf numFmtId="0" fontId="0" fillId="0" borderId="0" xfId="68" applyFont="1" applyProtection="1">
      <alignment/>
      <protection/>
    </xf>
    <xf numFmtId="3" fontId="0" fillId="0" borderId="0" xfId="0" applyNumberFormat="1" applyAlignment="1" applyProtection="1">
      <alignment/>
      <protection/>
    </xf>
    <xf numFmtId="2" fontId="0" fillId="6" borderId="26" xfId="0" applyNumberFormat="1" applyFill="1" applyBorder="1" applyAlignment="1" applyProtection="1">
      <alignment/>
      <protection/>
    </xf>
    <xf numFmtId="176" fontId="1" fillId="6" borderId="21" xfId="0" applyNumberFormat="1" applyFont="1" applyFill="1" applyBorder="1" applyAlignment="1" applyProtection="1">
      <alignment/>
      <protection/>
    </xf>
    <xf numFmtId="0" fontId="20" fillId="0" borderId="0" xfId="68" applyFont="1" applyFill="1" applyBorder="1" applyAlignment="1" applyProtection="1">
      <alignment vertical="center" wrapText="1"/>
      <protection/>
    </xf>
    <xf numFmtId="2" fontId="0" fillId="0" borderId="0" xfId="0" applyNumberFormat="1" applyFill="1" applyBorder="1" applyAlignment="1" applyProtection="1">
      <alignment/>
      <protection/>
    </xf>
    <xf numFmtId="176" fontId="1" fillId="0" borderId="0" xfId="0" applyNumberFormat="1" applyFont="1" applyFill="1" applyBorder="1" applyAlignment="1" applyProtection="1">
      <alignment/>
      <protection/>
    </xf>
    <xf numFmtId="0" fontId="1" fillId="0" borderId="0" xfId="68" applyFont="1" applyAlignment="1" applyProtection="1">
      <alignment/>
      <protection/>
    </xf>
    <xf numFmtId="3" fontId="1" fillId="0" borderId="0" xfId="0" applyNumberFormat="1" applyFont="1" applyFill="1" applyAlignment="1" applyProtection="1">
      <alignment horizontal="center" vertical="center"/>
      <protection/>
    </xf>
    <xf numFmtId="3" fontId="34" fillId="0" borderId="16" xfId="0" applyNumberFormat="1" applyFont="1" applyBorder="1" applyAlignment="1" applyProtection="1">
      <alignment horizontal="left" vertical="center" wrapText="1"/>
      <protection/>
    </xf>
    <xf numFmtId="3" fontId="34" fillId="0" borderId="16" xfId="0" applyNumberFormat="1" applyFont="1" applyBorder="1" applyAlignment="1" applyProtection="1">
      <alignment horizontal="left" vertical="center"/>
      <protection/>
    </xf>
    <xf numFmtId="170" fontId="34" fillId="0" borderId="16" xfId="0" applyNumberFormat="1" applyFont="1" applyBorder="1" applyAlignment="1" applyProtection="1">
      <alignment horizontal="right" vertical="center"/>
      <protection/>
    </xf>
    <xf numFmtId="177" fontId="34" fillId="0" borderId="16" xfId="0" applyNumberFormat="1" applyFont="1" applyBorder="1" applyAlignment="1" applyProtection="1">
      <alignment vertical="center"/>
      <protection/>
    </xf>
    <xf numFmtId="170" fontId="42" fillId="0" borderId="16" xfId="0" applyNumberFormat="1" applyFont="1" applyBorder="1" applyAlignment="1" applyProtection="1">
      <alignment horizontal="left" vertical="center"/>
      <protection/>
    </xf>
    <xf numFmtId="0" fontId="0" fillId="0" borderId="27" xfId="68" applyFont="1" applyBorder="1" applyAlignment="1" applyProtection="1">
      <alignment vertical="center" wrapText="1"/>
      <protection/>
    </xf>
    <xf numFmtId="170" fontId="0" fillId="6" borderId="26" xfId="0" applyNumberFormat="1" applyFill="1" applyBorder="1" applyAlignment="1" applyProtection="1">
      <alignment/>
      <protection/>
    </xf>
    <xf numFmtId="0" fontId="0" fillId="0" borderId="0" xfId="68" applyFont="1" applyAlignment="1" applyProtection="1">
      <alignment vertical="center" wrapText="1"/>
      <protection/>
    </xf>
    <xf numFmtId="3" fontId="52" fillId="0" borderId="16" xfId="0" applyNumberFormat="1" applyFont="1" applyBorder="1" applyAlignment="1" applyProtection="1">
      <alignment horizontal="left" vertical="center" wrapText="1"/>
      <protection/>
    </xf>
    <xf numFmtId="0" fontId="19" fillId="0" borderId="0" xfId="0" applyFont="1" applyAlignment="1" applyProtection="1">
      <alignment/>
      <protection/>
    </xf>
    <xf numFmtId="177" fontId="52" fillId="0" borderId="16" xfId="0" applyNumberFormat="1" applyFont="1" applyBorder="1" applyAlignment="1" applyProtection="1">
      <alignment vertical="center"/>
      <protection/>
    </xf>
    <xf numFmtId="0" fontId="0" fillId="0" borderId="0" xfId="0" applyAlignment="1" applyProtection="1">
      <alignment/>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0" fontId="26" fillId="0" borderId="0" xfId="0" applyFont="1" applyFill="1" applyAlignment="1" applyProtection="1">
      <alignment horizontal="center" vertical="center"/>
      <protection/>
    </xf>
    <xf numFmtId="3" fontId="1" fillId="19" borderId="30" xfId="0" applyNumberFormat="1" applyFont="1" applyFill="1" applyBorder="1" applyAlignment="1" applyProtection="1">
      <alignment vertical="center" wrapText="1"/>
      <protection/>
    </xf>
    <xf numFmtId="0" fontId="45" fillId="6" borderId="25" xfId="68" applyFont="1" applyFill="1" applyBorder="1" applyAlignment="1" applyProtection="1">
      <alignment vertical="center" wrapText="1"/>
      <protection/>
    </xf>
    <xf numFmtId="0" fontId="46" fillId="6" borderId="26" xfId="68" applyFont="1" applyFill="1" applyBorder="1" applyAlignment="1" applyProtection="1">
      <alignment vertical="center"/>
      <protection/>
    </xf>
    <xf numFmtId="170" fontId="46" fillId="6" borderId="26" xfId="0" applyNumberFormat="1" applyFont="1" applyFill="1" applyBorder="1" applyAlignment="1" applyProtection="1">
      <alignment vertical="center"/>
      <protection/>
    </xf>
    <xf numFmtId="176" fontId="45" fillId="6" borderId="21" xfId="0" applyNumberFormat="1" applyFont="1" applyFill="1" applyBorder="1" applyAlignment="1" applyProtection="1">
      <alignment vertical="center"/>
      <protection/>
    </xf>
    <xf numFmtId="0" fontId="0" fillId="0" borderId="27" xfId="68" applyBorder="1" applyAlignment="1" applyProtection="1">
      <alignment vertical="center" wrapText="1"/>
      <protection/>
    </xf>
    <xf numFmtId="3" fontId="0" fillId="6" borderId="21" xfId="0" applyNumberFormat="1" applyFill="1" applyBorder="1" applyAlignment="1" applyProtection="1">
      <alignment/>
      <protection/>
    </xf>
    <xf numFmtId="0" fontId="37" fillId="0" borderId="0" xfId="0" applyFont="1" applyFill="1" applyAlignment="1" applyProtection="1">
      <alignment horizontal="center" vertical="center"/>
      <protection locked="0"/>
    </xf>
    <xf numFmtId="0" fontId="0" fillId="0" borderId="0" xfId="68" applyFont="1" applyFill="1" applyBorder="1" applyAlignment="1" applyProtection="1">
      <alignment vertical="center"/>
      <protection/>
    </xf>
    <xf numFmtId="3" fontId="55" fillId="0" borderId="0" xfId="0" applyNumberFormat="1" applyFont="1" applyFill="1" applyBorder="1" applyAlignment="1" applyProtection="1">
      <alignment horizontal="center" vertical="center"/>
      <protection/>
    </xf>
    <xf numFmtId="0" fontId="29" fillId="0" borderId="0" xfId="68" applyFont="1" applyFill="1" applyBorder="1" applyAlignment="1" applyProtection="1">
      <alignment vertical="center"/>
      <protection/>
    </xf>
    <xf numFmtId="0" fontId="39" fillId="0" borderId="0" xfId="0" applyFont="1" applyFill="1" applyAlignment="1" applyProtection="1">
      <alignment horizontal="center" vertical="center"/>
      <protection locked="0"/>
    </xf>
    <xf numFmtId="0" fontId="1" fillId="0" borderId="0" xfId="68" applyFont="1" applyFill="1" applyBorder="1" applyAlignment="1" applyProtection="1">
      <alignment vertical="center"/>
      <protection/>
    </xf>
    <xf numFmtId="0" fontId="1" fillId="0" borderId="0" xfId="68" applyFont="1" applyAlignment="1" applyProtection="1">
      <alignment vertical="center"/>
      <protection/>
    </xf>
    <xf numFmtId="0" fontId="0" fillId="0" borderId="0" xfId="0" applyFill="1" applyAlignment="1" applyProtection="1">
      <alignment horizontal="center"/>
      <protection/>
    </xf>
    <xf numFmtId="0" fontId="37" fillId="0" borderId="0" xfId="0" applyFont="1" applyAlignment="1" applyProtection="1">
      <alignment horizontal="center" vertical="center"/>
      <protection hidden="1" locked="0"/>
    </xf>
    <xf numFmtId="0" fontId="40" fillId="0" borderId="0" xfId="0" applyFont="1" applyFill="1" applyAlignment="1" applyProtection="1">
      <alignment/>
      <protection locked="0"/>
    </xf>
    <xf numFmtId="167" fontId="37" fillId="0" borderId="0" xfId="0" applyNumberFormat="1" applyFont="1" applyFill="1" applyBorder="1" applyAlignment="1" applyProtection="1">
      <alignment horizontal="center" vertical="center"/>
      <protection locked="0"/>
    </xf>
    <xf numFmtId="177" fontId="52" fillId="0" borderId="16"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27" xfId="68" applyFont="1" applyBorder="1" applyAlignment="1" applyProtection="1">
      <alignment vertical="center" wrapText="1"/>
      <protection/>
    </xf>
    <xf numFmtId="0" fontId="25" fillId="0" borderId="0" xfId="56" applyFill="1" applyBorder="1" applyAlignment="1" applyProtection="1">
      <alignment/>
      <protection/>
    </xf>
    <xf numFmtId="0" fontId="0" fillId="0" borderId="27" xfId="68" applyFont="1" applyFill="1" applyBorder="1" applyAlignment="1" applyProtection="1">
      <alignment vertical="center" wrapText="1"/>
      <protection/>
    </xf>
    <xf numFmtId="0" fontId="25" fillId="0" borderId="0" xfId="56" applyNumberFormat="1" applyAlignment="1" applyProtection="1">
      <alignment/>
      <protection/>
    </xf>
    <xf numFmtId="0" fontId="25" fillId="0" borderId="0" xfId="56" applyFont="1" applyAlignment="1">
      <alignment/>
    </xf>
    <xf numFmtId="3" fontId="34" fillId="0" borderId="0" xfId="0" applyNumberFormat="1" applyFont="1" applyFill="1" applyAlignment="1" applyProtection="1">
      <alignment horizontal="center" vertical="center"/>
      <protection/>
    </xf>
    <xf numFmtId="0" fontId="26" fillId="0" borderId="0" xfId="0" applyFont="1" applyFill="1" applyAlignment="1" applyProtection="1">
      <alignment horizontal="center" vertical="center"/>
      <protection/>
    </xf>
    <xf numFmtId="167" fontId="40" fillId="0" borderId="0" xfId="0" applyNumberFormat="1" applyFont="1" applyAlignment="1" applyProtection="1">
      <alignment/>
      <protection locked="0"/>
    </xf>
    <xf numFmtId="167" fontId="1" fillId="0" borderId="0" xfId="0" applyNumberFormat="1" applyFont="1" applyAlignment="1">
      <alignment horizontal="right" vertical="center"/>
    </xf>
    <xf numFmtId="3" fontId="1" fillId="0" borderId="0" xfId="0" applyNumberFormat="1" applyFont="1" applyBorder="1" applyAlignment="1" applyProtection="1">
      <alignment horizontal="left" vertical="center" wrapText="1"/>
      <protection/>
    </xf>
    <xf numFmtId="3" fontId="1" fillId="0" borderId="0" xfId="0" applyNumberFormat="1" applyFont="1" applyBorder="1" applyAlignment="1" applyProtection="1">
      <alignment horizontal="left" vertical="center"/>
      <protection/>
    </xf>
    <xf numFmtId="2" fontId="1" fillId="0" borderId="0" xfId="0" applyNumberFormat="1" applyFont="1" applyBorder="1" applyAlignment="1" applyProtection="1">
      <alignment horizontal="right" vertical="center"/>
      <protection/>
    </xf>
    <xf numFmtId="3" fontId="0" fillId="2" borderId="31" xfId="0" applyNumberFormat="1" applyFont="1" applyFill="1" applyBorder="1" applyAlignment="1" applyProtection="1">
      <alignment horizontal="left" vertical="center" wrapText="1"/>
      <protection/>
    </xf>
    <xf numFmtId="3" fontId="0" fillId="2" borderId="24" xfId="0" applyNumberFormat="1" applyFont="1" applyFill="1" applyBorder="1" applyAlignment="1" applyProtection="1">
      <alignment horizontal="left" vertical="center" wrapText="1"/>
      <protection/>
    </xf>
    <xf numFmtId="3" fontId="0" fillId="2" borderId="32" xfId="0" applyNumberFormat="1" applyFont="1" applyFill="1" applyBorder="1" applyAlignment="1" applyProtection="1">
      <alignment horizontal="left" vertical="center" wrapText="1"/>
      <protection/>
    </xf>
    <xf numFmtId="0" fontId="20" fillId="0" borderId="0" xfId="0" applyFont="1" applyAlignment="1" applyProtection="1">
      <alignment/>
      <protection/>
    </xf>
    <xf numFmtId="0" fontId="29" fillId="0" borderId="0" xfId="0" applyFont="1" applyAlignment="1" applyProtection="1">
      <alignment/>
      <protection/>
    </xf>
    <xf numFmtId="0" fontId="40" fillId="0" borderId="0" xfId="0" applyFont="1" applyAlignment="1" applyProtection="1">
      <alignment/>
      <protection/>
    </xf>
    <xf numFmtId="0" fontId="33" fillId="0" borderId="0" xfId="69" applyFont="1" applyProtection="1">
      <alignment/>
      <protection/>
    </xf>
    <xf numFmtId="4" fontId="33" fillId="0" borderId="0" xfId="69" applyNumberFormat="1" applyFont="1" applyProtection="1">
      <alignment/>
      <protection/>
    </xf>
    <xf numFmtId="4" fontId="48" fillId="0" borderId="0" xfId="69" applyNumberFormat="1" applyFont="1" applyProtection="1">
      <alignment/>
      <protection/>
    </xf>
    <xf numFmtId="4" fontId="54" fillId="0" borderId="0" xfId="69" applyNumberFormat="1" applyFont="1" applyProtection="1">
      <alignment/>
      <protection/>
    </xf>
    <xf numFmtId="0" fontId="54" fillId="0" borderId="0" xfId="69" applyFont="1" applyProtection="1">
      <alignment/>
      <protection/>
    </xf>
    <xf numFmtId="0" fontId="1" fillId="0" borderId="0" xfId="69" applyAlignment="1" applyProtection="1">
      <alignment horizontal="left" vertical="center" wrapText="1"/>
      <protection/>
    </xf>
    <xf numFmtId="0" fontId="1" fillId="0" borderId="0" xfId="69" applyProtection="1">
      <alignment/>
      <protection/>
    </xf>
    <xf numFmtId="0" fontId="33" fillId="0" borderId="0" xfId="0" applyFont="1" applyAlignment="1" applyProtection="1">
      <alignment/>
      <protection/>
    </xf>
    <xf numFmtId="167" fontId="56" fillId="0" borderId="16" xfId="0" applyNumberFormat="1" applyFont="1" applyFill="1" applyBorder="1" applyAlignment="1" applyProtection="1">
      <alignment horizontal="left" vertical="center" wrapText="1"/>
      <protection/>
    </xf>
    <xf numFmtId="170" fontId="56" fillId="0" borderId="16" xfId="0" applyNumberFormat="1" applyFont="1" applyFill="1" applyBorder="1" applyAlignment="1" applyProtection="1">
      <alignment horizontal="left" vertical="center"/>
      <protection/>
    </xf>
    <xf numFmtId="3" fontId="1" fillId="0" borderId="0" xfId="0" applyNumberFormat="1" applyFont="1" applyAlignment="1" applyProtection="1">
      <alignment horizontal="center" vertical="center"/>
      <protection hidden="1"/>
    </xf>
    <xf numFmtId="3" fontId="1" fillId="0" borderId="0" xfId="0" applyNumberFormat="1" applyFont="1" applyFill="1" applyBorder="1" applyAlignment="1" applyProtection="1">
      <alignment horizontal="center" vertical="center"/>
      <protection hidden="1"/>
    </xf>
    <xf numFmtId="3" fontId="1" fillId="0" borderId="16" xfId="0" applyNumberFormat="1" applyFont="1" applyFill="1" applyBorder="1" applyAlignment="1" applyProtection="1">
      <alignment horizontal="left" vertical="center"/>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170" fontId="0" fillId="0" borderId="0" xfId="0" applyNumberFormat="1" applyFont="1" applyAlignment="1" applyProtection="1">
      <alignment/>
      <protection hidden="1"/>
    </xf>
    <xf numFmtId="3" fontId="34" fillId="0" borderId="0" xfId="0" applyNumberFormat="1" applyFont="1" applyAlignment="1" applyProtection="1">
      <alignment horizontal="center" vertical="center"/>
      <protection hidden="1"/>
    </xf>
    <xf numFmtId="3" fontId="1" fillId="22" borderId="0" xfId="0" applyNumberFormat="1" applyFont="1" applyFill="1" applyAlignment="1" applyProtection="1">
      <alignment horizontal="center" vertical="center"/>
      <protection/>
    </xf>
    <xf numFmtId="3" fontId="34" fillId="22" borderId="0" xfId="0" applyNumberFormat="1" applyFont="1" applyFill="1" applyAlignment="1" applyProtection="1">
      <alignment horizontal="center" vertical="center"/>
      <protection/>
    </xf>
    <xf numFmtId="0" fontId="1" fillId="0" borderId="0" xfId="68" applyFont="1" applyFill="1" applyBorder="1" applyAlignment="1" applyProtection="1">
      <alignment vertical="center"/>
      <protection hidden="1"/>
    </xf>
    <xf numFmtId="3" fontId="1" fillId="0" borderId="16" xfId="0" applyNumberFormat="1" applyFont="1" applyFill="1" applyBorder="1" applyAlignment="1" applyProtection="1">
      <alignment horizontal="left" vertical="center" wrapText="1"/>
      <protection hidden="1"/>
    </xf>
    <xf numFmtId="3" fontId="34" fillId="0" borderId="0" xfId="0" applyNumberFormat="1" applyFont="1" applyFill="1" applyBorder="1" applyAlignment="1" applyProtection="1">
      <alignment horizontal="center" vertical="center"/>
      <protection hidden="1"/>
    </xf>
    <xf numFmtId="3" fontId="34" fillId="0" borderId="16" xfId="0" applyNumberFormat="1" applyFont="1" applyFill="1" applyBorder="1" applyAlignment="1" applyProtection="1">
      <alignment horizontal="left" vertical="center" wrapText="1"/>
      <protection hidden="1"/>
    </xf>
    <xf numFmtId="3" fontId="34" fillId="0" borderId="16" xfId="0" applyNumberFormat="1" applyFont="1" applyFill="1" applyBorder="1" applyAlignment="1" applyProtection="1">
      <alignment horizontal="left" vertical="center"/>
      <protection hidden="1"/>
    </xf>
    <xf numFmtId="170" fontId="34" fillId="0" borderId="16" xfId="0" applyNumberFormat="1" applyFont="1" applyFill="1" applyBorder="1" applyAlignment="1" applyProtection="1">
      <alignment horizontal="right" vertical="center"/>
      <protection hidden="1"/>
    </xf>
    <xf numFmtId="185" fontId="66" fillId="0" borderId="0" xfId="54" applyFont="1">
      <alignment/>
      <protection/>
    </xf>
    <xf numFmtId="186" fontId="67" fillId="0" borderId="0" xfId="54" applyNumberFormat="1" applyFont="1">
      <alignment/>
      <protection/>
    </xf>
    <xf numFmtId="185" fontId="33" fillId="0" borderId="0" xfId="0" applyNumberFormat="1" applyFont="1" applyAlignment="1">
      <alignment/>
    </xf>
    <xf numFmtId="3" fontId="1" fillId="23" borderId="0" xfId="0" applyNumberFormat="1" applyFont="1" applyFill="1" applyAlignment="1" applyProtection="1">
      <alignment horizontal="center" vertical="center"/>
      <protection/>
    </xf>
    <xf numFmtId="0" fontId="68" fillId="0" borderId="0" xfId="0" applyFont="1" applyAlignment="1" applyProtection="1">
      <alignment horizontal="left" vertical="center" wrapText="1"/>
      <protection locked="0"/>
    </xf>
    <xf numFmtId="0" fontId="68" fillId="0" borderId="0" xfId="0" applyFont="1" applyAlignment="1" applyProtection="1">
      <alignment horizontal="left" wrapText="1"/>
      <protection locked="0"/>
    </xf>
    <xf numFmtId="0" fontId="69" fillId="0" borderId="0" xfId="0" applyFont="1" applyAlignment="1" applyProtection="1">
      <alignment horizontal="left" wrapText="1"/>
      <protection locked="0"/>
    </xf>
    <xf numFmtId="0" fontId="69" fillId="0" borderId="0" xfId="0" applyFont="1" applyFill="1" applyAlignment="1" applyProtection="1">
      <alignment horizontal="left" wrapText="1"/>
      <protection locked="0"/>
    </xf>
    <xf numFmtId="0" fontId="70" fillId="0" borderId="0" xfId="0" applyFont="1" applyFill="1" applyAlignment="1" applyProtection="1">
      <alignment horizontal="left" vertical="center" wrapText="1"/>
      <protection locked="0"/>
    </xf>
    <xf numFmtId="0" fontId="68" fillId="0" borderId="0" xfId="0" applyFont="1" applyFill="1" applyAlignment="1" applyProtection="1">
      <alignment horizontal="left" vertical="center" wrapText="1"/>
      <protection locked="0"/>
    </xf>
    <xf numFmtId="0" fontId="68" fillId="0" borderId="0" xfId="0" applyFont="1" applyAlignment="1" applyProtection="1">
      <alignment horizontal="left" wrapText="1"/>
      <protection hidden="1" locked="0"/>
    </xf>
    <xf numFmtId="0" fontId="68" fillId="16" borderId="0" xfId="0" applyFont="1" applyFill="1" applyAlignment="1" applyProtection="1">
      <alignment horizontal="left" vertical="center" wrapText="1"/>
      <protection locked="0"/>
    </xf>
    <xf numFmtId="167" fontId="68" fillId="0" borderId="0" xfId="0" applyNumberFormat="1" applyFont="1" applyFill="1" applyBorder="1" applyAlignment="1" applyProtection="1">
      <alignment horizontal="left" vertical="center" wrapText="1"/>
      <protection locked="0"/>
    </xf>
    <xf numFmtId="177" fontId="68" fillId="0" borderId="0" xfId="0" applyNumberFormat="1" applyFont="1" applyAlignment="1" applyProtection="1">
      <alignment horizontal="left" wrapText="1"/>
      <protection locked="0"/>
    </xf>
    <xf numFmtId="0" fontId="68" fillId="0" borderId="0" xfId="0" applyFont="1" applyAlignment="1" applyProtection="1">
      <alignment horizontal="left" vertical="center" wrapText="1"/>
      <protection hidden="1" locked="0"/>
    </xf>
    <xf numFmtId="9" fontId="68" fillId="0" borderId="0" xfId="73" applyFont="1" applyAlignment="1" applyProtection="1">
      <alignment horizontal="left" wrapText="1"/>
      <protection locked="0"/>
    </xf>
    <xf numFmtId="0" fontId="68" fillId="23" borderId="0" xfId="0" applyFont="1" applyFill="1" applyAlignment="1" applyProtection="1">
      <alignment horizontal="left" wrapText="1"/>
      <protection locked="0"/>
    </xf>
    <xf numFmtId="0" fontId="0" fillId="0" borderId="0" xfId="0" applyAlignment="1">
      <alignment wrapText="1"/>
    </xf>
    <xf numFmtId="0" fontId="40" fillId="23" borderId="0" xfId="0" applyFont="1" applyFill="1" applyBorder="1" applyAlignment="1" applyProtection="1">
      <alignment horizontal="left" vertical="center"/>
      <protection/>
    </xf>
    <xf numFmtId="0" fontId="40" fillId="23" borderId="0" xfId="0" applyFont="1" applyFill="1" applyBorder="1" applyAlignment="1" applyProtection="1">
      <alignment horizontal="left" vertical="center"/>
      <protection/>
    </xf>
    <xf numFmtId="0" fontId="49" fillId="23" borderId="0" xfId="0" applyFont="1" applyFill="1" applyBorder="1" applyAlignment="1" applyProtection="1">
      <alignment horizontal="left" vertical="center"/>
      <protection/>
    </xf>
    <xf numFmtId="0" fontId="40" fillId="23" borderId="0" xfId="68" applyNumberFormat="1" applyFont="1" applyFill="1" applyBorder="1" applyAlignment="1" applyProtection="1">
      <alignment horizontal="left" vertical="center"/>
      <protection/>
    </xf>
    <xf numFmtId="0" fontId="40" fillId="23" borderId="0" xfId="0" applyFont="1" applyFill="1" applyBorder="1" applyAlignment="1" applyProtection="1">
      <alignment horizontal="left"/>
      <protection/>
    </xf>
    <xf numFmtId="0" fontId="40" fillId="23" borderId="0" xfId="68" applyFont="1" applyFill="1" applyBorder="1" applyAlignment="1" applyProtection="1">
      <alignment horizontal="left" vertical="center"/>
      <protection/>
    </xf>
    <xf numFmtId="0" fontId="0" fillId="23" borderId="0" xfId="0" applyFill="1" applyAlignment="1" applyProtection="1">
      <alignment horizontal="left" vertical="center"/>
      <protection/>
    </xf>
    <xf numFmtId="0" fontId="1" fillId="23" borderId="0" xfId="68" applyFont="1" applyFill="1" applyAlignment="1" applyProtection="1">
      <alignment horizontal="left" vertical="center"/>
      <protection/>
    </xf>
    <xf numFmtId="170" fontId="51" fillId="23" borderId="29" xfId="0" applyNumberFormat="1" applyFont="1" applyFill="1" applyBorder="1" applyAlignment="1" applyProtection="1">
      <alignment horizontal="left" wrapText="1"/>
      <protection/>
    </xf>
    <xf numFmtId="0" fontId="41" fillId="23" borderId="0" xfId="68" applyFont="1" applyFill="1" applyBorder="1" applyAlignment="1" applyProtection="1">
      <alignment horizontal="left" vertical="center"/>
      <protection/>
    </xf>
    <xf numFmtId="0" fontId="43" fillId="23" borderId="0" xfId="68" applyFont="1" applyFill="1" applyBorder="1" applyAlignment="1" applyProtection="1">
      <alignment horizontal="left" vertical="center"/>
      <protection/>
    </xf>
    <xf numFmtId="0" fontId="43" fillId="23" borderId="0" xfId="68" applyFont="1" applyFill="1" applyAlignment="1" applyProtection="1">
      <alignment horizontal="left" vertical="center"/>
      <protection/>
    </xf>
    <xf numFmtId="0" fontId="43" fillId="23" borderId="0" xfId="68" applyFont="1" applyFill="1" applyBorder="1" applyAlignment="1" applyProtection="1">
      <alignment vertical="center"/>
      <protection/>
    </xf>
    <xf numFmtId="0" fontId="40" fillId="23" borderId="0" xfId="0" applyFont="1" applyFill="1" applyAlignment="1" applyProtection="1">
      <alignment horizontal="left"/>
      <protection/>
    </xf>
    <xf numFmtId="0" fontId="40" fillId="23" borderId="0" xfId="0" applyFont="1" applyFill="1" applyAlignment="1" applyProtection="1">
      <alignment vertical="center"/>
      <protection/>
    </xf>
    <xf numFmtId="0" fontId="40" fillId="23" borderId="0" xfId="0" applyFont="1" applyFill="1" applyAlignment="1" applyProtection="1">
      <alignment horizontal="left" vertical="center"/>
      <protection/>
    </xf>
    <xf numFmtId="0" fontId="43" fillId="23" borderId="0" xfId="68" applyFont="1" applyFill="1" applyBorder="1" applyAlignment="1" applyProtection="1">
      <alignment horizontal="left" vertical="center"/>
      <protection/>
    </xf>
    <xf numFmtId="0" fontId="43" fillId="23" borderId="0" xfId="68" applyFont="1" applyFill="1" applyAlignment="1" applyProtection="1">
      <alignment vertical="center"/>
      <protection/>
    </xf>
    <xf numFmtId="0" fontId="43" fillId="23" borderId="0" xfId="68" applyFont="1" applyFill="1" applyAlignment="1" applyProtection="1">
      <alignment vertical="center"/>
      <protection hidden="1"/>
    </xf>
    <xf numFmtId="0" fontId="43" fillId="23" borderId="0" xfId="68" applyFont="1" applyFill="1" applyAlignment="1" applyProtection="1">
      <alignment horizontal="left" vertical="center"/>
      <protection hidden="1"/>
    </xf>
    <xf numFmtId="1" fontId="43" fillId="23" borderId="0" xfId="68" applyNumberFormat="1" applyFont="1" applyFill="1" applyAlignment="1" applyProtection="1">
      <alignment horizontal="left" vertical="center"/>
      <protection hidden="1"/>
    </xf>
    <xf numFmtId="0" fontId="43" fillId="23" borderId="0" xfId="68" applyFont="1" applyFill="1" applyBorder="1" applyAlignment="1" applyProtection="1">
      <alignment horizontal="left" vertical="center"/>
      <protection hidden="1"/>
    </xf>
    <xf numFmtId="0" fontId="40" fillId="23" borderId="0" xfId="0" applyFont="1" applyFill="1" applyAlignment="1" applyProtection="1">
      <alignment horizontal="left" vertical="center"/>
      <protection hidden="1"/>
    </xf>
    <xf numFmtId="10" fontId="0" fillId="0" borderId="18" xfId="73" applyNumberFormat="1" applyFont="1" applyFill="1" applyBorder="1" applyAlignment="1" applyProtection="1">
      <alignment vertical="center"/>
      <protection/>
    </xf>
    <xf numFmtId="9" fontId="0" fillId="0" borderId="17" xfId="73" applyFont="1" applyFill="1" applyBorder="1" applyAlignment="1" applyProtection="1">
      <alignment/>
      <protection/>
    </xf>
    <xf numFmtId="167" fontId="0" fillId="0" borderId="0" xfId="0" applyNumberFormat="1" applyFont="1" applyFill="1" applyBorder="1" applyAlignment="1" applyProtection="1">
      <alignment/>
      <protection/>
    </xf>
    <xf numFmtId="0" fontId="57" fillId="18" borderId="24" xfId="56" applyNumberFormat="1" applyFont="1" applyFill="1" applyBorder="1" applyAlignment="1" applyProtection="1">
      <alignment vertical="center"/>
      <protection/>
    </xf>
    <xf numFmtId="0" fontId="0" fillId="0" borderId="27" xfId="68" applyFont="1" applyBorder="1" applyAlignment="1" applyProtection="1">
      <alignment vertical="center" wrapText="1"/>
      <protection hidden="1"/>
    </xf>
    <xf numFmtId="185" fontId="71" fillId="0" borderId="0" xfId="54" applyFont="1" applyAlignment="1" applyProtection="1">
      <alignment wrapText="1"/>
      <protection locked="0"/>
    </xf>
    <xf numFmtId="185" fontId="66" fillId="0" borderId="0" xfId="54" applyFont="1" applyAlignment="1" applyProtection="1">
      <alignment horizontal="center"/>
      <protection/>
    </xf>
    <xf numFmtId="185" fontId="71" fillId="0" borderId="0" xfId="54" applyFont="1" applyProtection="1">
      <alignment/>
      <protection/>
    </xf>
    <xf numFmtId="185" fontId="66" fillId="0" borderId="0" xfId="54" applyFont="1" applyProtection="1">
      <alignment/>
      <protection/>
    </xf>
    <xf numFmtId="185" fontId="71" fillId="0" borderId="0" xfId="54" applyFont="1" applyBorder="1" applyProtection="1">
      <alignment/>
      <protection/>
    </xf>
    <xf numFmtId="185" fontId="66" fillId="0" borderId="33" xfId="54" applyFont="1" applyBorder="1" applyAlignment="1" applyProtection="1">
      <alignment horizontal="center"/>
      <protection/>
    </xf>
    <xf numFmtId="185" fontId="67" fillId="0" borderId="33" xfId="54" applyFont="1" applyBorder="1" applyProtection="1">
      <alignment/>
      <protection/>
    </xf>
    <xf numFmtId="185" fontId="66" fillId="0" borderId="33" xfId="54" applyFont="1" applyBorder="1" applyProtection="1">
      <alignment/>
      <protection/>
    </xf>
    <xf numFmtId="189" fontId="66" fillId="0" borderId="33" xfId="54" applyNumberFormat="1" applyFont="1" applyBorder="1" applyProtection="1">
      <alignment/>
      <protection/>
    </xf>
    <xf numFmtId="185" fontId="72" fillId="0" borderId="33" xfId="54" applyFont="1" applyBorder="1" applyProtection="1">
      <alignment/>
      <protection/>
    </xf>
    <xf numFmtId="186" fontId="66" fillId="0" borderId="33" xfId="54" applyNumberFormat="1" applyFont="1" applyBorder="1" applyProtection="1">
      <alignment/>
      <protection/>
    </xf>
    <xf numFmtId="185" fontId="67" fillId="0" borderId="0" xfId="54" applyFont="1" applyProtection="1">
      <alignment/>
      <protection/>
    </xf>
    <xf numFmtId="186" fontId="66" fillId="0" borderId="0" xfId="54" applyNumberFormat="1" applyFont="1" applyProtection="1">
      <alignment/>
      <protection/>
    </xf>
    <xf numFmtId="189" fontId="67" fillId="0" borderId="0" xfId="54" applyNumberFormat="1" applyFont="1" applyProtection="1">
      <alignment/>
      <protection/>
    </xf>
    <xf numFmtId="185" fontId="66" fillId="0" borderId="33" xfId="54" applyFont="1" applyBorder="1" applyAlignment="1" applyProtection="1">
      <alignment wrapText="1"/>
      <protection/>
    </xf>
    <xf numFmtId="44" fontId="33" fillId="0" borderId="33" xfId="59" applyFont="1" applyBorder="1" applyAlignment="1" applyProtection="1">
      <alignment/>
      <protection/>
    </xf>
    <xf numFmtId="185" fontId="73" fillId="0" borderId="0" xfId="54" applyFont="1" applyAlignment="1" applyProtection="1">
      <alignment horizontal="center"/>
      <protection/>
    </xf>
    <xf numFmtId="188" fontId="67" fillId="0" borderId="0" xfId="55" applyFont="1" applyProtection="1">
      <alignment/>
      <protection/>
    </xf>
    <xf numFmtId="186" fontId="67" fillId="0" borderId="0" xfId="54" applyNumberFormat="1" applyFont="1" applyProtection="1">
      <alignment/>
      <protection/>
    </xf>
    <xf numFmtId="185" fontId="71" fillId="0" borderId="34" xfId="54" applyFont="1" applyBorder="1" applyProtection="1">
      <alignment/>
      <protection/>
    </xf>
    <xf numFmtId="185" fontId="66" fillId="0" borderId="33" xfId="54" applyFont="1" applyBorder="1" applyAlignment="1" applyProtection="1">
      <alignment horizontal="left"/>
      <protection/>
    </xf>
    <xf numFmtId="185" fontId="74" fillId="0" borderId="0" xfId="54" applyFont="1" applyProtection="1">
      <alignment/>
      <protection/>
    </xf>
    <xf numFmtId="188" fontId="74" fillId="0" borderId="0" xfId="55" applyFont="1" applyProtection="1">
      <alignment/>
      <protection/>
    </xf>
    <xf numFmtId="186" fontId="74" fillId="0" borderId="0" xfId="54" applyNumberFormat="1" applyFont="1" applyProtection="1">
      <alignment/>
      <protection/>
    </xf>
    <xf numFmtId="188" fontId="66" fillId="0" borderId="0" xfId="55" applyFont="1" applyProtection="1">
      <alignment/>
      <protection/>
    </xf>
    <xf numFmtId="185" fontId="66" fillId="0" borderId="0" xfId="54" applyFont="1" applyProtection="1">
      <alignment/>
      <protection locked="0"/>
    </xf>
    <xf numFmtId="185" fontId="66" fillId="0" borderId="33" xfId="54" applyFont="1" applyBorder="1" applyAlignment="1" applyProtection="1">
      <alignment horizontal="center"/>
      <protection locked="0"/>
    </xf>
    <xf numFmtId="186" fontId="66" fillId="0" borderId="33" xfId="54" applyNumberFormat="1" applyFont="1" applyBorder="1" applyProtection="1">
      <alignment/>
      <protection locked="0"/>
    </xf>
    <xf numFmtId="186" fontId="67" fillId="0" borderId="0" xfId="54" applyNumberFormat="1" applyFont="1" applyProtection="1">
      <alignment/>
      <protection locked="0"/>
    </xf>
    <xf numFmtId="0" fontId="33" fillId="0" borderId="0" xfId="0" applyFont="1" applyAlignment="1" applyProtection="1">
      <alignment/>
      <protection locked="0"/>
    </xf>
    <xf numFmtId="186" fontId="66" fillId="0" borderId="0" xfId="54" applyNumberFormat="1" applyFont="1" applyProtection="1">
      <alignment/>
      <protection locked="0"/>
    </xf>
    <xf numFmtId="186" fontId="73" fillId="0" borderId="33" xfId="54" applyNumberFormat="1" applyFont="1" applyBorder="1" applyProtection="1">
      <alignment/>
      <protection locked="0"/>
    </xf>
    <xf numFmtId="185" fontId="73" fillId="0" borderId="0" xfId="54" applyFont="1" applyProtection="1">
      <alignment/>
      <protection locked="0"/>
    </xf>
    <xf numFmtId="177" fontId="33" fillId="20" borderId="33" xfId="0" applyNumberFormat="1" applyFont="1" applyFill="1" applyBorder="1" applyAlignment="1" applyProtection="1">
      <alignment vertical="center"/>
      <protection locked="0"/>
    </xf>
    <xf numFmtId="10" fontId="19" fillId="20" borderId="33" xfId="73" applyNumberFormat="1" applyFont="1" applyFill="1" applyBorder="1" applyAlignment="1" applyProtection="1">
      <alignment vertical="center"/>
      <protection locked="0"/>
    </xf>
    <xf numFmtId="3" fontId="1" fillId="0" borderId="0" xfId="0" applyNumberFormat="1" applyFont="1" applyAlignment="1" applyProtection="1">
      <alignment horizontal="center" vertical="center"/>
      <protection/>
    </xf>
    <xf numFmtId="3" fontId="75" fillId="0" borderId="0" xfId="0" applyNumberFormat="1" applyFont="1" applyFill="1" applyAlignment="1" applyProtection="1">
      <alignment horizontal="center" vertical="center"/>
      <protection/>
    </xf>
    <xf numFmtId="3" fontId="76" fillId="0" borderId="0" xfId="0" applyNumberFormat="1" applyFont="1" applyFill="1" applyAlignment="1" applyProtection="1">
      <alignment horizontal="center" vertical="center"/>
      <protection/>
    </xf>
    <xf numFmtId="0" fontId="19" fillId="0" borderId="29" xfId="0" applyFont="1" applyBorder="1" applyAlignment="1" applyProtection="1">
      <alignment horizontal="right" wrapText="1"/>
      <protection locked="0"/>
    </xf>
    <xf numFmtId="0" fontId="38" fillId="0" borderId="0" xfId="0" applyFont="1" applyAlignment="1" applyProtection="1">
      <alignment horizontal="center" vertical="center"/>
      <protection locked="0"/>
    </xf>
    <xf numFmtId="0" fontId="38" fillId="0" borderId="0" xfId="0" applyFont="1" applyFill="1" applyAlignment="1" applyProtection="1">
      <alignment horizontal="center" vertical="center"/>
      <protection locked="0"/>
    </xf>
    <xf numFmtId="166" fontId="0" fillId="0" borderId="0" xfId="73" applyNumberFormat="1" applyAlignment="1" applyProtection="1">
      <alignment horizontal="center" vertical="center"/>
      <protection locked="0"/>
    </xf>
    <xf numFmtId="9" fontId="37" fillId="0" borderId="0" xfId="0" applyNumberFormat="1" applyFont="1" applyAlignment="1" applyProtection="1">
      <alignment horizontal="center" vertical="center"/>
      <protection locked="0"/>
    </xf>
    <xf numFmtId="0" fontId="37" fillId="16" borderId="0" xfId="0" applyFont="1" applyFill="1" applyAlignment="1" applyProtection="1">
      <alignment horizontal="center" vertical="center"/>
      <protection hidden="1" locked="0"/>
    </xf>
    <xf numFmtId="167" fontId="37" fillId="0" borderId="0" xfId="0" applyNumberFormat="1" applyFont="1" applyAlignment="1" applyProtection="1">
      <alignment horizontal="center" vertical="center"/>
      <protection locked="0"/>
    </xf>
    <xf numFmtId="0" fontId="0" fillId="0" borderId="0" xfId="0" applyAlignment="1" applyProtection="1">
      <alignment horizontal="center"/>
      <protection hidden="1" locked="0"/>
    </xf>
    <xf numFmtId="0" fontId="37" fillId="0" borderId="0" xfId="0" applyFont="1" applyFill="1" applyAlignment="1" applyProtection="1">
      <alignment horizontal="center" vertical="center"/>
      <protection hidden="1" locked="0"/>
    </xf>
    <xf numFmtId="180" fontId="1" fillId="20" borderId="16" xfId="0" applyNumberFormat="1" applyFont="1" applyFill="1" applyBorder="1" applyAlignment="1" applyProtection="1">
      <alignment vertical="center"/>
      <protection locked="0"/>
    </xf>
    <xf numFmtId="180" fontId="1" fillId="20" borderId="0" xfId="0" applyNumberFormat="1" applyFont="1" applyFill="1" applyBorder="1" applyAlignment="1" applyProtection="1">
      <alignment vertical="center"/>
      <protection locked="0"/>
    </xf>
    <xf numFmtId="177" fontId="1" fillId="20" borderId="16" xfId="0" applyNumberFormat="1" applyFont="1" applyFill="1" applyBorder="1" applyAlignment="1" applyProtection="1">
      <alignment vertical="center"/>
      <protection locked="0"/>
    </xf>
    <xf numFmtId="177" fontId="1" fillId="6" borderId="26" xfId="0" applyNumberFormat="1" applyFont="1" applyFill="1" applyBorder="1" applyAlignment="1" applyProtection="1">
      <alignment/>
      <protection locked="0"/>
    </xf>
    <xf numFmtId="167" fontId="0" fillId="0" borderId="0" xfId="0" applyNumberFormat="1" applyFont="1" applyBorder="1" applyAlignment="1" applyProtection="1">
      <alignment/>
      <protection locked="0"/>
    </xf>
    <xf numFmtId="0" fontId="57" fillId="18" borderId="24" xfId="56" applyNumberFormat="1" applyFont="1" applyFill="1" applyBorder="1" applyAlignment="1" applyProtection="1">
      <alignment vertical="center"/>
      <protection locked="0"/>
    </xf>
    <xf numFmtId="177" fontId="1" fillId="20" borderId="16" xfId="0" applyNumberFormat="1" applyFont="1" applyFill="1" applyBorder="1" applyAlignment="1" applyProtection="1">
      <alignment vertical="center"/>
      <protection hidden="1" locked="0"/>
    </xf>
    <xf numFmtId="177" fontId="32" fillId="20" borderId="16" xfId="0" applyNumberFormat="1" applyFont="1" applyFill="1" applyBorder="1" applyAlignment="1" applyProtection="1">
      <alignment vertical="center"/>
      <protection locked="0"/>
    </xf>
    <xf numFmtId="166" fontId="1" fillId="20" borderId="16" xfId="0" applyNumberFormat="1" applyFont="1" applyFill="1" applyBorder="1" applyAlignment="1" applyProtection="1">
      <alignment vertical="center"/>
      <protection locked="0"/>
    </xf>
    <xf numFmtId="167" fontId="0" fillId="6" borderId="26" xfId="0" applyNumberFormat="1" applyFont="1" applyFill="1" applyBorder="1" applyAlignment="1" applyProtection="1">
      <alignment/>
      <protection locked="0"/>
    </xf>
    <xf numFmtId="3" fontId="32" fillId="19" borderId="24" xfId="0" applyNumberFormat="1" applyFont="1" applyFill="1" applyBorder="1" applyAlignment="1" applyProtection="1">
      <alignment vertical="center" wrapText="1"/>
      <protection locked="0"/>
    </xf>
    <xf numFmtId="166" fontId="1" fillId="20" borderId="0" xfId="0" applyNumberFormat="1" applyFont="1" applyFill="1" applyBorder="1" applyAlignment="1" applyProtection="1">
      <alignment vertical="center"/>
      <protection locked="0"/>
    </xf>
    <xf numFmtId="3" fontId="1" fillId="19" borderId="24" xfId="0" applyNumberFormat="1" applyFont="1" applyFill="1" applyBorder="1" applyAlignment="1" applyProtection="1">
      <alignment vertical="center" wrapText="1"/>
      <protection locked="0"/>
    </xf>
    <xf numFmtId="167" fontId="0" fillId="0" borderId="0" xfId="0" applyNumberFormat="1" applyFont="1" applyAlignment="1" applyProtection="1">
      <alignment/>
      <protection locked="0"/>
    </xf>
    <xf numFmtId="177" fontId="1" fillId="0" borderId="0" xfId="0" applyNumberFormat="1" applyFont="1" applyFill="1" applyBorder="1" applyAlignment="1" applyProtection="1">
      <alignment vertical="center"/>
      <protection locked="0"/>
    </xf>
    <xf numFmtId="9" fontId="0" fillId="20" borderId="16" xfId="73" applyFont="1" applyFill="1" applyBorder="1" applyAlignment="1" applyProtection="1">
      <alignment vertical="center"/>
      <protection locked="0"/>
    </xf>
    <xf numFmtId="166" fontId="1" fillId="20" borderId="0" xfId="0" applyNumberFormat="1" applyFont="1" applyFill="1" applyAlignment="1" applyProtection="1">
      <alignment vertical="center"/>
      <protection locked="0"/>
    </xf>
    <xf numFmtId="180" fontId="32" fillId="20" borderId="16" xfId="0" applyNumberFormat="1" applyFont="1" applyFill="1" applyBorder="1" applyAlignment="1" applyProtection="1">
      <alignment vertical="center"/>
      <protection hidden="1" locked="0"/>
    </xf>
    <xf numFmtId="180" fontId="1" fillId="20" borderId="16" xfId="0" applyNumberFormat="1" applyFont="1" applyFill="1" applyBorder="1" applyAlignment="1" applyProtection="1">
      <alignment vertical="center"/>
      <protection hidden="1" locked="0"/>
    </xf>
    <xf numFmtId="3" fontId="1" fillId="19" borderId="30" xfId="0" applyNumberFormat="1" applyFont="1" applyFill="1" applyBorder="1" applyAlignment="1" applyProtection="1">
      <alignment vertical="center" wrapText="1"/>
      <protection locked="0"/>
    </xf>
    <xf numFmtId="180" fontId="32" fillId="20" borderId="16" xfId="0" applyNumberFormat="1" applyFont="1" applyFill="1" applyBorder="1" applyAlignment="1" applyProtection="1">
      <alignment vertical="center"/>
      <protection locked="0"/>
    </xf>
    <xf numFmtId="177" fontId="46" fillId="6" borderId="26" xfId="0" applyNumberFormat="1" applyFont="1" applyFill="1" applyBorder="1" applyAlignment="1" applyProtection="1">
      <alignment vertical="center"/>
      <protection locked="0"/>
    </xf>
    <xf numFmtId="0" fontId="57" fillId="18" borderId="28" xfId="56" applyNumberFormat="1" applyFont="1" applyFill="1" applyBorder="1" applyAlignment="1" applyProtection="1">
      <alignment vertical="center"/>
      <protection locked="0"/>
    </xf>
    <xf numFmtId="177" fontId="32" fillId="20" borderId="16" xfId="0" applyNumberFormat="1" applyFont="1" applyFill="1" applyBorder="1" applyAlignment="1" applyProtection="1">
      <alignment vertical="center"/>
      <protection hidden="1" locked="0"/>
    </xf>
    <xf numFmtId="166" fontId="1" fillId="20" borderId="0" xfId="0" applyNumberFormat="1" applyFont="1" applyFill="1" applyAlignment="1" applyProtection="1">
      <alignment vertical="center"/>
      <protection hidden="1" locked="0"/>
    </xf>
    <xf numFmtId="0" fontId="57" fillId="18" borderId="24" xfId="56" applyFont="1" applyFill="1" applyBorder="1" applyAlignment="1" applyProtection="1">
      <alignment vertical="center"/>
      <protection locked="0"/>
    </xf>
    <xf numFmtId="0" fontId="43" fillId="0" borderId="0" xfId="68" applyFont="1" applyAlignment="1">
      <alignment horizontal="left" vertical="center"/>
      <protection/>
    </xf>
    <xf numFmtId="3" fontId="1" fillId="0" borderId="0" xfId="0" applyNumberFormat="1" applyFont="1" applyAlignment="1">
      <alignment horizontal="center" vertical="center"/>
    </xf>
    <xf numFmtId="3" fontId="1" fillId="0" borderId="16" xfId="0" applyNumberFormat="1" applyFont="1" applyBorder="1" applyAlignment="1">
      <alignment horizontal="left" vertical="center" wrapText="1"/>
    </xf>
    <xf numFmtId="3" fontId="32" fillId="19" borderId="24" xfId="0" applyNumberFormat="1" applyFont="1" applyFill="1" applyBorder="1" applyAlignment="1" applyProtection="1">
      <alignment horizontal="left" vertical="center" wrapText="1"/>
      <protection/>
    </xf>
    <xf numFmtId="3" fontId="1" fillId="19" borderId="24" xfId="0" applyNumberFormat="1" applyFont="1" applyFill="1" applyBorder="1" applyAlignment="1" applyProtection="1">
      <alignment horizontal="left" vertical="center" wrapText="1"/>
      <protection/>
    </xf>
    <xf numFmtId="3" fontId="0" fillId="2" borderId="31" xfId="0" applyNumberFormat="1" applyFont="1" applyFill="1" applyBorder="1" applyAlignment="1" applyProtection="1">
      <alignment horizontal="left" vertical="center" wrapText="1"/>
      <protection/>
    </xf>
    <xf numFmtId="3" fontId="0" fillId="2" borderId="24" xfId="0" applyNumberFormat="1" applyFont="1" applyFill="1" applyBorder="1" applyAlignment="1" applyProtection="1">
      <alignment horizontal="left" vertical="center" wrapText="1"/>
      <protection/>
    </xf>
    <xf numFmtId="3" fontId="0" fillId="2" borderId="32" xfId="0" applyNumberFormat="1" applyFont="1" applyFill="1" applyBorder="1" applyAlignment="1" applyProtection="1">
      <alignment horizontal="left" vertical="center" wrapText="1"/>
      <protection/>
    </xf>
    <xf numFmtId="3" fontId="32" fillId="19" borderId="30" xfId="0" applyNumberFormat="1" applyFont="1" applyFill="1" applyBorder="1" applyAlignment="1" applyProtection="1">
      <alignment horizontal="left" vertical="center" wrapText="1"/>
      <protection/>
    </xf>
    <xf numFmtId="0" fontId="25" fillId="18" borderId="24" xfId="56" applyNumberFormat="1" applyFill="1" applyBorder="1" applyAlignment="1" applyProtection="1">
      <alignment vertical="center"/>
      <protection/>
    </xf>
    <xf numFmtId="3" fontId="32" fillId="0" borderId="30" xfId="0" applyNumberFormat="1" applyFont="1" applyBorder="1" applyAlignment="1" applyProtection="1">
      <alignment horizontal="left" vertical="center" wrapText="1"/>
      <protection/>
    </xf>
    <xf numFmtId="3" fontId="32" fillId="0" borderId="30" xfId="0" applyNumberFormat="1" applyFont="1" applyBorder="1" applyAlignment="1" applyProtection="1">
      <alignment horizontal="left" vertical="center" wrapText="1"/>
      <protection hidden="1"/>
    </xf>
    <xf numFmtId="3" fontId="32" fillId="0" borderId="35" xfId="0" applyNumberFormat="1" applyFont="1" applyBorder="1" applyAlignment="1" applyProtection="1">
      <alignment horizontal="left" vertical="center" wrapText="1"/>
      <protection/>
    </xf>
    <xf numFmtId="3" fontId="1" fillId="0" borderId="30" xfId="0" applyNumberFormat="1" applyFont="1" applyBorder="1" applyAlignment="1" applyProtection="1">
      <alignment horizontal="left" vertical="center" wrapText="1"/>
      <protection/>
    </xf>
    <xf numFmtId="176" fontId="27" fillId="0" borderId="26" xfId="0" applyNumberFormat="1" applyFont="1" applyBorder="1" applyAlignment="1" applyProtection="1">
      <alignment horizontal="right"/>
      <protection/>
    </xf>
    <xf numFmtId="0" fontId="22" fillId="0" borderId="10" xfId="0" applyFont="1" applyBorder="1" applyAlignment="1" applyProtection="1">
      <alignment horizontal="left" vertical="center" wrapText="1"/>
      <protection/>
    </xf>
    <xf numFmtId="0" fontId="22" fillId="0" borderId="11" xfId="0" applyFont="1" applyBorder="1" applyAlignment="1" applyProtection="1">
      <alignment horizontal="left" vertical="center" wrapText="1"/>
      <protection/>
    </xf>
    <xf numFmtId="0" fontId="22" fillId="0" borderId="12" xfId="0" applyFont="1" applyBorder="1" applyAlignment="1" applyProtection="1">
      <alignment horizontal="left" vertical="center" wrapText="1"/>
      <protection/>
    </xf>
    <xf numFmtId="3" fontId="0" fillId="2" borderId="31" xfId="0" applyNumberFormat="1" applyFont="1" applyFill="1" applyBorder="1" applyAlignment="1" applyProtection="1">
      <alignment horizontal="left" vertical="center"/>
      <protection/>
    </xf>
    <xf numFmtId="3" fontId="0" fillId="2" borderId="24" xfId="0" applyNumberFormat="1" applyFont="1" applyFill="1" applyBorder="1" applyAlignment="1" applyProtection="1">
      <alignment horizontal="left" vertical="center"/>
      <protection/>
    </xf>
    <xf numFmtId="3" fontId="0" fillId="2" borderId="32" xfId="0" applyNumberFormat="1" applyFont="1" applyFill="1" applyBorder="1" applyAlignment="1" applyProtection="1">
      <alignment horizontal="left" vertical="center"/>
      <protection/>
    </xf>
    <xf numFmtId="0" fontId="22" fillId="0" borderId="36" xfId="0" applyFont="1" applyBorder="1" applyAlignment="1" applyProtection="1">
      <alignment horizontal="center" vertical="center" wrapText="1"/>
      <protection/>
    </xf>
    <xf numFmtId="0" fontId="22" fillId="0" borderId="37" xfId="0" applyFont="1" applyBorder="1" applyAlignment="1" applyProtection="1">
      <alignment horizontal="center" vertical="center" wrapText="1"/>
      <protection/>
    </xf>
    <xf numFmtId="0" fontId="22" fillId="0" borderId="38" xfId="0" applyFont="1" applyBorder="1" applyAlignment="1" applyProtection="1">
      <alignment horizontal="center" vertical="center" wrapText="1"/>
      <protection/>
    </xf>
    <xf numFmtId="176" fontId="27" fillId="0" borderId="39" xfId="0" applyNumberFormat="1" applyFont="1" applyBorder="1" applyAlignment="1" applyProtection="1">
      <alignment horizontal="right"/>
      <protection/>
    </xf>
    <xf numFmtId="176" fontId="27" fillId="0" borderId="40" xfId="0" applyNumberFormat="1" applyFont="1" applyBorder="1" applyAlignment="1" applyProtection="1">
      <alignment horizontal="right"/>
      <protection/>
    </xf>
    <xf numFmtId="185" fontId="71" fillId="0" borderId="0" xfId="54" applyFont="1" applyAlignment="1" applyProtection="1">
      <alignment horizontal="center" wrapText="1"/>
      <protection/>
    </xf>
  </cellXfs>
  <cellStyles count="8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Excel Built-in Normal" xfId="54"/>
    <cellStyle name="Excel Built-in Percent" xfId="55"/>
    <cellStyle name="Hyperlink" xfId="56"/>
    <cellStyle name="Chybně"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í" xfId="66"/>
    <cellStyle name="Normální 2" xfId="67"/>
    <cellStyle name="normální_BRILSTAR" xfId="68"/>
    <cellStyle name="normální_ESA_ESI" xfId="69"/>
    <cellStyle name="Followed Hyperlink" xfId="70"/>
    <cellStyle name="Poznámka" xfId="71"/>
    <cellStyle name="procent_ESA_ESI" xfId="72"/>
    <cellStyle name="Percent" xfId="73"/>
    <cellStyle name="Procenta 2" xfId="74"/>
    <cellStyle name="Propojená buňka" xfId="75"/>
    <cellStyle name="Správně" xfId="76"/>
    <cellStyle name="Špatně" xfId="77"/>
    <cellStyle name="TableStyleLight1" xfId="78"/>
    <cellStyle name="TableStyleLight1 2" xfId="79"/>
    <cellStyle name="TableStyleLight1 3" xfId="80"/>
    <cellStyle name="TableStyleLight1 4" xfId="81"/>
    <cellStyle name="Text upozornění" xfId="82"/>
    <cellStyle name="Title" xfId="83"/>
    <cellStyle name="Total" xfId="84"/>
    <cellStyle name="Vstup" xfId="85"/>
    <cellStyle name="Výpočet" xfId="86"/>
    <cellStyle name="Výstup" xfId="87"/>
    <cellStyle name="Vysvětlující text" xfId="88"/>
    <cellStyle name="Warning Text" xfId="89"/>
    <cellStyle name="Zvýraznění 1" xfId="90"/>
    <cellStyle name="Zvýraznění 2" xfId="91"/>
    <cellStyle name="Zvýraznění 3" xfId="92"/>
    <cellStyle name="Zvýraznění 4" xfId="93"/>
    <cellStyle name="Zvýraznění 5" xfId="94"/>
    <cellStyle name="Zvýraznění 6" xfId="95"/>
  </cellStyles>
  <dxfs count="2">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odo-plasttop.cz/podomitkova-zapachova-uzaverka-hl405-sifon-prackovy" TargetMode="External" /><Relationship Id="rId2" Type="http://schemas.openxmlformats.org/officeDocument/2006/relationships/hyperlink" Target="https://www.empiri.cz/dubove-parkety-vlysy-ii-trida-mensi-format/" TargetMode="External" /><Relationship Id="rId3" Type="http://schemas.openxmlformats.org/officeDocument/2006/relationships/hyperlink" Target="https://www.drevene-listy-eshop.cz/drevene-listy/eshop/4-1-DUBOVE-LISTY/0/5/2-LISTA-PARKETOVA-dub" TargetMode="External" /><Relationship Id="rId4" Type="http://schemas.openxmlformats.org/officeDocument/2006/relationships/hyperlink" Target="https://www.floorwood.cz/prechodova-lista-sroubovaci-obla-stribrna-e01/" TargetMode="External" /><Relationship Id="rId5" Type="http://schemas.openxmlformats.org/officeDocument/2006/relationships/hyperlink" Target="https://www.mrizkydvirka.cz/Revizni-dvirka-300x400-mm-bila-d484.htm?tab=description" TargetMode="External" /><Relationship Id="rId6" Type="http://schemas.openxmlformats.org/officeDocument/2006/relationships/hyperlink" Target="https://www.truhlarstvimicek.cz/dvere-vchodove-oliver"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Y579"/>
  <sheetViews>
    <sheetView showGridLines="0" tabSelected="1" zoomScale="90" zoomScaleNormal="90" zoomScaleSheetLayoutView="100" zoomScalePageLayoutView="115" workbookViewId="0" topLeftCell="A1">
      <selection activeCell="J6" sqref="J6"/>
    </sheetView>
  </sheetViews>
  <sheetFormatPr defaultColWidth="9.00390625" defaultRowHeight="12.75"/>
  <cols>
    <col min="1" max="1" width="4.375" style="173" customWidth="1"/>
    <col min="2" max="2" width="17.00390625" style="292" customWidth="1"/>
    <col min="3" max="3" width="12.625" style="20" customWidth="1"/>
    <col min="4" max="4" width="53.375" style="24" customWidth="1"/>
    <col min="5" max="5" width="8.75390625" style="22" customWidth="1"/>
    <col min="6" max="6" width="10.625" style="124" customWidth="1"/>
    <col min="7" max="7" width="12.625" style="23" customWidth="1"/>
    <col min="8" max="8" width="15.375" style="22" customWidth="1"/>
    <col min="9" max="9" width="9.00390625" style="157" bestFit="1" customWidth="1"/>
    <col min="10" max="10" width="27.625" style="279" customWidth="1"/>
    <col min="11" max="11" width="15.125" style="3" hidden="1" customWidth="1"/>
    <col min="12" max="12" width="120.75390625" style="1" hidden="1" customWidth="1"/>
    <col min="13" max="13" width="13.25390625" style="1" hidden="1" customWidth="1"/>
    <col min="14" max="14" width="11.00390625" style="1" hidden="1" customWidth="1"/>
    <col min="15" max="16" width="9.125" style="1" customWidth="1"/>
    <col min="17" max="17" width="14.25390625" style="1" hidden="1" customWidth="1"/>
    <col min="18" max="19" width="9.125" style="1" hidden="1" customWidth="1"/>
    <col min="20" max="20" width="0" style="22" hidden="1" customWidth="1"/>
    <col min="21" max="22" width="9.125" style="22" customWidth="1"/>
    <col min="23" max="16384" width="9.125" style="1" customWidth="1"/>
  </cols>
  <sheetData>
    <row r="3" spans="4:17" ht="22.5">
      <c r="D3" s="21"/>
      <c r="F3" s="122" t="s">
        <v>241</v>
      </c>
      <c r="G3" s="122" t="s">
        <v>242</v>
      </c>
      <c r="H3" s="122" t="s">
        <v>243</v>
      </c>
      <c r="I3" s="358" t="s">
        <v>199</v>
      </c>
      <c r="J3" s="122" t="s">
        <v>902</v>
      </c>
      <c r="K3" s="14" t="s">
        <v>524</v>
      </c>
      <c r="L3" s="14" t="s">
        <v>525</v>
      </c>
      <c r="M3" s="14" t="s">
        <v>526</v>
      </c>
      <c r="N3" s="14" t="s">
        <v>526</v>
      </c>
      <c r="Q3" s="14" t="s">
        <v>780</v>
      </c>
    </row>
    <row r="4" spans="4:13" ht="12.75">
      <c r="D4" s="21"/>
      <c r="K4" s="15"/>
      <c r="L4" s="15"/>
      <c r="M4" s="10"/>
    </row>
    <row r="5" spans="11:13" ht="12.75">
      <c r="K5" s="15"/>
      <c r="L5" s="15"/>
      <c r="M5" s="10"/>
    </row>
    <row r="6" spans="4:13" ht="44.25" customHeight="1">
      <c r="D6" s="414" t="s">
        <v>162</v>
      </c>
      <c r="E6" s="415"/>
      <c r="F6" s="415"/>
      <c r="G6" s="415"/>
      <c r="H6" s="416"/>
      <c r="K6" s="15"/>
      <c r="L6" s="15"/>
      <c r="M6" s="10"/>
    </row>
    <row r="7" spans="2:13" ht="19.5" customHeight="1">
      <c r="B7" s="293"/>
      <c r="D7" s="408" t="s">
        <v>393</v>
      </c>
      <c r="E7" s="409"/>
      <c r="F7" s="409"/>
      <c r="G7" s="409"/>
      <c r="H7" s="410"/>
      <c r="K7" s="15"/>
      <c r="L7" s="15"/>
      <c r="M7" s="10"/>
    </row>
    <row r="8" spans="2:13" ht="19.5" customHeight="1">
      <c r="B8" s="293"/>
      <c r="D8" s="408" t="s">
        <v>392</v>
      </c>
      <c r="E8" s="409"/>
      <c r="F8" s="409"/>
      <c r="G8" s="409"/>
      <c r="H8" s="410"/>
      <c r="K8" s="15"/>
      <c r="L8" s="15"/>
      <c r="M8" s="10"/>
    </row>
    <row r="9" spans="2:13" ht="19.5" customHeight="1">
      <c r="B9" s="293"/>
      <c r="D9" s="408" t="s">
        <v>896</v>
      </c>
      <c r="E9" s="409"/>
      <c r="F9" s="409"/>
      <c r="G9" s="409"/>
      <c r="H9" s="410"/>
      <c r="K9" s="15"/>
      <c r="L9" s="15"/>
      <c r="M9" s="10"/>
    </row>
    <row r="10" spans="2:13" ht="19.5" customHeight="1">
      <c r="B10" s="293"/>
      <c r="D10" s="408" t="s">
        <v>897</v>
      </c>
      <c r="E10" s="409"/>
      <c r="F10" s="409"/>
      <c r="G10" s="409"/>
      <c r="H10" s="410"/>
      <c r="K10" s="15"/>
      <c r="L10" s="15"/>
      <c r="M10" s="10"/>
    </row>
    <row r="11" spans="4:13" ht="12.75">
      <c r="D11" s="25"/>
      <c r="E11" s="26"/>
      <c r="F11" s="125"/>
      <c r="G11" s="27"/>
      <c r="H11" s="28"/>
      <c r="K11" s="15"/>
      <c r="L11" s="15"/>
      <c r="M11" s="10"/>
    </row>
    <row r="12" spans="4:13" ht="23.25">
      <c r="D12" s="29" t="s">
        <v>282</v>
      </c>
      <c r="E12" s="30"/>
      <c r="F12" s="126"/>
      <c r="G12" s="31"/>
      <c r="H12" s="32"/>
      <c r="K12" s="15"/>
      <c r="L12" s="15"/>
      <c r="M12" s="10"/>
    </row>
    <row r="13" spans="11:13" ht="12.75">
      <c r="K13" s="15"/>
      <c r="L13" s="15"/>
      <c r="M13" s="10"/>
    </row>
    <row r="14" spans="11:13" ht="12.75">
      <c r="K14" s="2"/>
      <c r="L14" s="2"/>
      <c r="M14" s="10"/>
    </row>
    <row r="15" spans="1:22" s="2" customFormat="1" ht="16.5">
      <c r="A15" s="174"/>
      <c r="B15" s="294"/>
      <c r="C15" s="33">
        <v>1</v>
      </c>
      <c r="D15" s="34" t="str">
        <f>Kapitola_1</f>
        <v>Přípravné a bourací práce</v>
      </c>
      <c r="E15" s="35"/>
      <c r="F15" s="127"/>
      <c r="G15" s="36"/>
      <c r="H15" s="36">
        <f>+Cena_1</f>
        <v>0</v>
      </c>
      <c r="I15" s="359"/>
      <c r="J15" s="280"/>
      <c r="K15" s="16">
        <f>SUMIF(I$148:I$204,"O",H$148:H$204)</f>
        <v>0</v>
      </c>
      <c r="L15" s="16">
        <f>SUMIF(I$148:I$204,"i",H$148:H$204)</f>
        <v>0</v>
      </c>
      <c r="M15" s="17">
        <f>SUM(K15:L15)</f>
        <v>0</v>
      </c>
      <c r="N15" s="119">
        <f>+H15-M15</f>
        <v>0</v>
      </c>
      <c r="T15" s="246"/>
      <c r="U15" s="246"/>
      <c r="V15" s="246"/>
    </row>
    <row r="16" spans="1:22" s="2" customFormat="1" ht="16.5">
      <c r="A16" s="174"/>
      <c r="B16" s="294"/>
      <c r="C16" s="33">
        <v>2</v>
      </c>
      <c r="D16" s="34" t="str">
        <f>Kapitola_2</f>
        <v>Stavební úpravy bytové jednotky</v>
      </c>
      <c r="E16" s="35"/>
      <c r="F16" s="127"/>
      <c r="G16" s="36"/>
      <c r="H16" s="36">
        <f>SUM(G17:G23)</f>
        <v>0</v>
      </c>
      <c r="I16" s="359"/>
      <c r="J16" s="280"/>
      <c r="N16" s="119"/>
      <c r="T16" s="246"/>
      <c r="U16" s="246"/>
      <c r="V16" s="246"/>
    </row>
    <row r="17" spans="1:22" s="2" customFormat="1" ht="16.5">
      <c r="A17" s="174"/>
      <c r="B17" s="294"/>
      <c r="C17" s="37" t="s">
        <v>807</v>
      </c>
      <c r="D17" s="34" t="str">
        <f>Kapitola_2a</f>
        <v>Stěny a příčky</v>
      </c>
      <c r="E17" s="35"/>
      <c r="F17" s="127"/>
      <c r="G17" s="36">
        <f>+Cena_2a</f>
        <v>0</v>
      </c>
      <c r="H17" s="36"/>
      <c r="I17" s="359"/>
      <c r="J17" s="280"/>
      <c r="K17" s="16">
        <f>SUMIF(I$209:I$227,"O",H$209:H$227)</f>
        <v>0</v>
      </c>
      <c r="L17" s="16">
        <f>SUMIF(I$209:I$227,"i",H$209:H$227)</f>
        <v>0</v>
      </c>
      <c r="M17" s="17">
        <f aca="true" t="shared" si="0" ref="M17:M23">SUM(K17:L17)</f>
        <v>0</v>
      </c>
      <c r="N17" s="119">
        <f aca="true" t="shared" si="1" ref="N17:N23">+G17-M17</f>
        <v>0</v>
      </c>
      <c r="T17" s="246"/>
      <c r="U17" s="246"/>
      <c r="V17" s="246"/>
    </row>
    <row r="18" spans="1:22" s="2" customFormat="1" ht="16.5">
      <c r="A18" s="174"/>
      <c r="B18" s="294"/>
      <c r="C18" s="37" t="s">
        <v>808</v>
      </c>
      <c r="D18" s="34" t="str">
        <f>Kapitola_2b</f>
        <v>Stropy a stropní konstrukce a podhledy</v>
      </c>
      <c r="E18" s="35"/>
      <c r="F18" s="127"/>
      <c r="G18" s="36">
        <f>+Cena_2b</f>
        <v>0</v>
      </c>
      <c r="H18" s="36"/>
      <c r="I18" s="359"/>
      <c r="J18" s="280"/>
      <c r="K18" s="16">
        <f>SUMIF(I$232:I$238,"O",H$232:H$238)</f>
        <v>0</v>
      </c>
      <c r="L18" s="16">
        <f>SUMIF(I$232:I$238,"i",H$232:H$238)</f>
        <v>0</v>
      </c>
      <c r="M18" s="17">
        <f t="shared" si="0"/>
        <v>0</v>
      </c>
      <c r="N18" s="119">
        <f t="shared" si="1"/>
        <v>0</v>
      </c>
      <c r="T18" s="246"/>
      <c r="U18" s="246"/>
      <c r="V18" s="246"/>
    </row>
    <row r="19" spans="1:22" s="2" customFormat="1" ht="16.5">
      <c r="A19" s="174"/>
      <c r="B19" s="294"/>
      <c r="C19" s="37" t="s">
        <v>809</v>
      </c>
      <c r="D19" s="34" t="str">
        <f>Kapitola_2c</f>
        <v>Úpravy povrchů vnitřní (stěny, stropy)</v>
      </c>
      <c r="E19" s="35"/>
      <c r="F19" s="127"/>
      <c r="G19" s="36">
        <f>+Cena_2c</f>
        <v>0</v>
      </c>
      <c r="H19" s="36"/>
      <c r="I19" s="359"/>
      <c r="J19" s="280"/>
      <c r="K19" s="16">
        <f>SUMIF(I$243:I$330,"O",H$243:H$330)</f>
        <v>0</v>
      </c>
      <c r="L19" s="16">
        <f>SUMIF(I$243:I$330,"i",H$243:H$330)</f>
        <v>0</v>
      </c>
      <c r="M19" s="17">
        <f t="shared" si="0"/>
        <v>0</v>
      </c>
      <c r="N19" s="119">
        <f t="shared" si="1"/>
        <v>0</v>
      </c>
      <c r="T19" s="246"/>
      <c r="U19" s="246"/>
      <c r="V19" s="246"/>
    </row>
    <row r="20" spans="1:22" s="2" customFormat="1" ht="16.5">
      <c r="A20" s="174"/>
      <c r="B20" s="294"/>
      <c r="C20" s="39" t="s">
        <v>810</v>
      </c>
      <c r="D20" s="34" t="str">
        <f>Kapitola_2j</f>
        <v>Konstrukce truhlářské</v>
      </c>
      <c r="E20" s="35"/>
      <c r="F20" s="127"/>
      <c r="G20" s="36">
        <f>+H357</f>
        <v>0</v>
      </c>
      <c r="H20" s="36"/>
      <c r="I20" s="359"/>
      <c r="J20" s="280"/>
      <c r="K20" s="16">
        <f>SUMIF(I$335:I$356,"O",H$335:H$356)</f>
        <v>0</v>
      </c>
      <c r="L20" s="16">
        <f>SUMIF(I$335:I$356,"i",H$335:H$356)</f>
        <v>0</v>
      </c>
      <c r="M20" s="17">
        <f t="shared" si="0"/>
        <v>0</v>
      </c>
      <c r="N20" s="119">
        <f t="shared" si="1"/>
        <v>0</v>
      </c>
      <c r="T20" s="246"/>
      <c r="U20" s="246"/>
      <c r="V20" s="246"/>
    </row>
    <row r="21" spans="1:22" s="2" customFormat="1" ht="16.5">
      <c r="A21" s="174"/>
      <c r="B21" s="294"/>
      <c r="C21" s="39" t="s">
        <v>811</v>
      </c>
      <c r="D21" s="34" t="str">
        <f>+D359</f>
        <v>Konstrukce zámečnické</v>
      </c>
      <c r="E21" s="35"/>
      <c r="F21" s="127"/>
      <c r="G21" s="36">
        <f>+H369</f>
        <v>0</v>
      </c>
      <c r="H21" s="36"/>
      <c r="I21" s="359"/>
      <c r="J21" s="280"/>
      <c r="K21" s="16">
        <f>SUMIF(I$361:I$368,"O",H$361:H$368)</f>
        <v>0</v>
      </c>
      <c r="L21" s="16">
        <f>SUMIF(I$361:I$368,"i",H$361:H$368)</f>
        <v>0</v>
      </c>
      <c r="M21" s="17">
        <f t="shared" si="0"/>
        <v>0</v>
      </c>
      <c r="N21" s="119">
        <f t="shared" si="1"/>
        <v>0</v>
      </c>
      <c r="T21" s="246"/>
      <c r="U21" s="246"/>
      <c r="V21" s="246"/>
    </row>
    <row r="22" spans="1:22" s="2" customFormat="1" ht="16.5">
      <c r="A22" s="174"/>
      <c r="B22" s="294"/>
      <c r="C22" s="39" t="s">
        <v>812</v>
      </c>
      <c r="D22" s="34" t="str">
        <f>+D371</f>
        <v>Podlahy z dlaždic</v>
      </c>
      <c r="E22" s="35"/>
      <c r="F22" s="127"/>
      <c r="G22" s="36">
        <f>+H390</f>
        <v>0</v>
      </c>
      <c r="H22" s="36"/>
      <c r="I22" s="359"/>
      <c r="J22" s="280"/>
      <c r="K22" s="16">
        <f>SUMIF(I$373:I$389,"O",H$373:H$389)</f>
        <v>0</v>
      </c>
      <c r="L22" s="16">
        <f>SUMIF(I$373:I$389,"i",H$373:H$389)</f>
        <v>0</v>
      </c>
      <c r="M22" s="17">
        <f t="shared" si="0"/>
        <v>0</v>
      </c>
      <c r="N22" s="119">
        <f t="shared" si="1"/>
        <v>0</v>
      </c>
      <c r="T22" s="246"/>
      <c r="U22" s="246"/>
      <c r="V22" s="246"/>
    </row>
    <row r="23" spans="1:22" s="2" customFormat="1" ht="16.5">
      <c r="A23" s="174"/>
      <c r="B23" s="294"/>
      <c r="C23" s="39" t="s">
        <v>813</v>
      </c>
      <c r="D23" s="34" t="str">
        <f>+D392</f>
        <v>Podlahy dřevěné a povlakové</v>
      </c>
      <c r="E23" s="35"/>
      <c r="F23" s="127"/>
      <c r="G23" s="36">
        <f>+H414</f>
        <v>0</v>
      </c>
      <c r="H23" s="36"/>
      <c r="I23" s="359"/>
      <c r="J23" s="280"/>
      <c r="K23" s="16">
        <f>SUMIF(I$394:I$413,"O",H$394:H$413)</f>
        <v>0</v>
      </c>
      <c r="L23" s="16">
        <f>SUMIF(I$394:I$413,"i",H$394:H$413)</f>
        <v>0</v>
      </c>
      <c r="M23" s="17">
        <f t="shared" si="0"/>
        <v>0</v>
      </c>
      <c r="N23" s="119">
        <f t="shared" si="1"/>
        <v>0</v>
      </c>
      <c r="T23" s="246"/>
      <c r="U23" s="246"/>
      <c r="V23" s="246"/>
    </row>
    <row r="24" spans="1:22" s="2" customFormat="1" ht="16.5">
      <c r="A24" s="174"/>
      <c r="B24" s="294"/>
      <c r="C24" s="33">
        <v>3</v>
      </c>
      <c r="D24" s="120" t="s">
        <v>374</v>
      </c>
      <c r="E24" s="35"/>
      <c r="F24" s="127"/>
      <c r="G24" s="36"/>
      <c r="H24" s="36">
        <f>SUM(G25:G31)</f>
        <v>0</v>
      </c>
      <c r="I24" s="359"/>
      <c r="J24" s="280"/>
      <c r="K24" s="16"/>
      <c r="L24" s="16"/>
      <c r="M24" s="17"/>
      <c r="N24" s="119"/>
      <c r="T24" s="246"/>
      <c r="U24" s="246"/>
      <c r="V24" s="246"/>
    </row>
    <row r="25" spans="1:22" s="2" customFormat="1" ht="16.5">
      <c r="A25" s="174"/>
      <c r="B25" s="294"/>
      <c r="C25" s="37" t="s">
        <v>202</v>
      </c>
      <c r="D25" s="34" t="str">
        <f>+D416</f>
        <v>Zdravotechnika - demontáže</v>
      </c>
      <c r="E25" s="35"/>
      <c r="F25" s="127"/>
      <c r="G25" s="36">
        <f>+H430</f>
        <v>0</v>
      </c>
      <c r="H25" s="36"/>
      <c r="I25" s="359"/>
      <c r="J25" s="280"/>
      <c r="K25" s="16">
        <f>SUMIF(I$417:I$429,"O",H$417:H$429)</f>
        <v>0</v>
      </c>
      <c r="L25" s="16">
        <f>SUMIF(I$417:I$429,"i",H$417:H$429)</f>
        <v>0</v>
      </c>
      <c r="M25" s="17">
        <f aca="true" t="shared" si="2" ref="M25:M33">SUM(K25:L25)</f>
        <v>0</v>
      </c>
      <c r="N25" s="119">
        <f aca="true" t="shared" si="3" ref="N25:N31">+G25-M25</f>
        <v>0</v>
      </c>
      <c r="T25" s="246"/>
      <c r="U25" s="246"/>
      <c r="V25" s="246"/>
    </row>
    <row r="26" spans="1:22" s="2" customFormat="1" ht="16.5">
      <c r="A26" s="174"/>
      <c r="B26" s="294"/>
      <c r="C26" s="37" t="s">
        <v>206</v>
      </c>
      <c r="D26" s="34" t="str">
        <f>+D432</f>
        <v>Zdravotechnika - vnitřní kanalizace</v>
      </c>
      <c r="E26" s="35"/>
      <c r="F26" s="127"/>
      <c r="G26" s="36">
        <f>+H444</f>
        <v>0</v>
      </c>
      <c r="H26" s="36"/>
      <c r="I26" s="359"/>
      <c r="J26" s="280"/>
      <c r="K26" s="16">
        <f>SUMIF(I$434:I$443,"O",H$434:H$443)</f>
        <v>0</v>
      </c>
      <c r="L26" s="16">
        <f>SUMIF(I$434:I$443,"i",H$434:H$443)</f>
        <v>0</v>
      </c>
      <c r="M26" s="17">
        <f t="shared" si="2"/>
        <v>0</v>
      </c>
      <c r="N26" s="119">
        <f t="shared" si="3"/>
        <v>0</v>
      </c>
      <c r="T26" s="246"/>
      <c r="U26" s="246"/>
      <c r="V26" s="246"/>
    </row>
    <row r="27" spans="1:22" s="2" customFormat="1" ht="16.5">
      <c r="A27" s="174"/>
      <c r="B27" s="294"/>
      <c r="C27" s="37" t="s">
        <v>207</v>
      </c>
      <c r="D27" s="34" t="str">
        <f>+D446</f>
        <v>Zdravotechnika - vnitřní vodovod</v>
      </c>
      <c r="E27" s="35"/>
      <c r="F27" s="127"/>
      <c r="G27" s="36">
        <f>+H459</f>
        <v>0</v>
      </c>
      <c r="H27" s="36"/>
      <c r="I27" s="359"/>
      <c r="J27" s="280"/>
      <c r="K27" s="16">
        <f>SUMIF(I$448:I$458,"O",H$448:H$458)</f>
        <v>0</v>
      </c>
      <c r="L27" s="16">
        <f>SUMIF(I$455:I$466,"i",H$455:H$466)</f>
        <v>0</v>
      </c>
      <c r="M27" s="17">
        <f t="shared" si="2"/>
        <v>0</v>
      </c>
      <c r="N27" s="119">
        <f t="shared" si="3"/>
        <v>0</v>
      </c>
      <c r="T27" s="246"/>
      <c r="U27" s="246"/>
      <c r="V27" s="246"/>
    </row>
    <row r="28" spans="1:22" s="2" customFormat="1" ht="16.5">
      <c r="A28" s="174"/>
      <c r="B28" s="294"/>
      <c r="C28" s="37" t="s">
        <v>208</v>
      </c>
      <c r="D28" s="34" t="str">
        <f>+D461</f>
        <v>Zdravotechnika - zařizovací předměty, armatury </v>
      </c>
      <c r="E28" s="35"/>
      <c r="F28" s="127"/>
      <c r="G28" s="36">
        <f>+H489</f>
        <v>0</v>
      </c>
      <c r="H28" s="36"/>
      <c r="I28" s="359"/>
      <c r="J28" s="280"/>
      <c r="K28" s="16">
        <f>SUMIF(I$463:I$488,"O",H$463:H$488)</f>
        <v>0</v>
      </c>
      <c r="L28" s="16">
        <f>SUMIF(I$463:I$488,"i",H$463:H$488)</f>
        <v>0</v>
      </c>
      <c r="M28" s="17">
        <f t="shared" si="2"/>
        <v>0</v>
      </c>
      <c r="N28" s="119">
        <f t="shared" si="3"/>
        <v>0</v>
      </c>
      <c r="T28" s="246"/>
      <c r="U28" s="246"/>
      <c r="V28" s="246"/>
    </row>
    <row r="29" spans="1:22" s="2" customFormat="1" ht="16.5">
      <c r="A29" s="174"/>
      <c r="B29" s="294"/>
      <c r="C29" s="37" t="s">
        <v>209</v>
      </c>
      <c r="D29" s="34" t="str">
        <f>+D491</f>
        <v>Vzduchotechnika</v>
      </c>
      <c r="E29" s="35"/>
      <c r="F29" s="127"/>
      <c r="G29" s="36">
        <f>+H515</f>
        <v>0</v>
      </c>
      <c r="H29" s="36"/>
      <c r="I29" s="359"/>
      <c r="J29" s="280"/>
      <c r="K29" s="16">
        <f>SUMIF(I$493:I$514,"O",H$493:H$514)</f>
        <v>0</v>
      </c>
      <c r="L29" s="16">
        <f>SUMIF(I$493:I$514,"i",H$493:H$514)</f>
        <v>0</v>
      </c>
      <c r="M29" s="17">
        <f t="shared" si="2"/>
        <v>0</v>
      </c>
      <c r="N29" s="119">
        <f t="shared" si="3"/>
        <v>0</v>
      </c>
      <c r="T29" s="246"/>
      <c r="U29" s="246"/>
      <c r="V29" s="246"/>
    </row>
    <row r="30" spans="1:22" s="2" customFormat="1" ht="16.5">
      <c r="A30" s="174"/>
      <c r="B30" s="294"/>
      <c r="C30" s="38" t="s">
        <v>210</v>
      </c>
      <c r="D30" s="34" t="str">
        <f>+D517</f>
        <v>Topení</v>
      </c>
      <c r="E30" s="35"/>
      <c r="F30" s="127"/>
      <c r="G30" s="36">
        <f>+H549</f>
        <v>0</v>
      </c>
      <c r="H30" s="36"/>
      <c r="I30" s="359"/>
      <c r="J30" s="280"/>
      <c r="K30" s="16">
        <f>SUMIF(I$519:I$548,"O",H$519:H$548)</f>
        <v>0</v>
      </c>
      <c r="L30" s="16">
        <f>SUMIF(I$519:I$548,"i",H$519:H$548)</f>
        <v>0</v>
      </c>
      <c r="M30" s="17">
        <f t="shared" si="2"/>
        <v>0</v>
      </c>
      <c r="N30" s="119">
        <f t="shared" si="3"/>
        <v>0</v>
      </c>
      <c r="T30" s="246"/>
      <c r="U30" s="246"/>
      <c r="V30" s="246"/>
    </row>
    <row r="31" spans="1:22" s="2" customFormat="1" ht="16.5">
      <c r="A31" s="174"/>
      <c r="B31" s="294"/>
      <c r="C31" s="39" t="s">
        <v>211</v>
      </c>
      <c r="D31" s="34" t="str">
        <f>+D551</f>
        <v>Plyn</v>
      </c>
      <c r="E31" s="35"/>
      <c r="F31" s="127"/>
      <c r="G31" s="36">
        <f>+H562</f>
        <v>0</v>
      </c>
      <c r="H31" s="36"/>
      <c r="I31" s="360"/>
      <c r="J31" s="281"/>
      <c r="K31" s="16">
        <f>SUMIF(I$553:I$561,"O",H$553:H$561)</f>
        <v>0</v>
      </c>
      <c r="L31" s="16">
        <f>SUMIF(I$553:I$561,"i",H$553:H$561)</f>
        <v>0</v>
      </c>
      <c r="M31" s="17">
        <f t="shared" si="2"/>
        <v>0</v>
      </c>
      <c r="N31" s="119">
        <f t="shared" si="3"/>
        <v>0</v>
      </c>
      <c r="T31" s="246"/>
      <c r="U31" s="246"/>
      <c r="V31" s="246"/>
    </row>
    <row r="32" spans="1:22" s="2" customFormat="1" ht="16.5">
      <c r="A32" s="174"/>
      <c r="B32" s="294"/>
      <c r="C32" s="33">
        <v>4</v>
      </c>
      <c r="D32" s="34" t="str">
        <f>+D564</f>
        <v>Elektroinstalace - silnoproud </v>
      </c>
      <c r="E32" s="35"/>
      <c r="F32" s="127"/>
      <c r="G32" s="36"/>
      <c r="H32" s="36">
        <f>+H569</f>
        <v>0</v>
      </c>
      <c r="I32" s="359"/>
      <c r="J32" s="280"/>
      <c r="K32" s="16">
        <f>SUMIF(I$566:I$568,"O",H$566:H$568)</f>
        <v>0</v>
      </c>
      <c r="L32" s="16">
        <f>SUMIF(I$566:I$568,"i",H$566:H$568)</f>
        <v>0</v>
      </c>
      <c r="M32" s="17">
        <f t="shared" si="2"/>
        <v>0</v>
      </c>
      <c r="N32" s="119">
        <f>+H32-M32</f>
        <v>0</v>
      </c>
      <c r="T32" s="246"/>
      <c r="U32" s="246"/>
      <c r="V32" s="246"/>
    </row>
    <row r="33" spans="1:22" s="2" customFormat="1" ht="16.5">
      <c r="A33" s="174"/>
      <c r="B33" s="294"/>
      <c r="C33" s="33">
        <v>5</v>
      </c>
      <c r="D33" s="34" t="str">
        <f>+D571</f>
        <v>Elektroinstalace - slaboproud</v>
      </c>
      <c r="E33" s="35"/>
      <c r="F33" s="127"/>
      <c r="G33" s="36"/>
      <c r="H33" s="36">
        <f>+H575</f>
        <v>0</v>
      </c>
      <c r="I33" s="359"/>
      <c r="J33" s="280"/>
      <c r="K33" s="16">
        <f>SUMIF(I$573:I$574,"O",H$573:H$574)</f>
        <v>0</v>
      </c>
      <c r="L33" s="16">
        <f>SUMIF(I$573:I$574,"i",H$573:H$574)</f>
        <v>0</v>
      </c>
      <c r="M33" s="17">
        <f t="shared" si="2"/>
        <v>0</v>
      </c>
      <c r="N33" s="119">
        <f>+H33-M33</f>
        <v>0</v>
      </c>
      <c r="T33" s="246"/>
      <c r="U33" s="246"/>
      <c r="V33" s="246"/>
    </row>
    <row r="34" spans="1:22" s="2" customFormat="1" ht="16.5">
      <c r="A34" s="174"/>
      <c r="B34" s="295"/>
      <c r="C34" s="33">
        <v>6</v>
      </c>
      <c r="D34" s="34" t="str">
        <f>+D577</f>
        <v>Dokončovací práce</v>
      </c>
      <c r="E34" s="35"/>
      <c r="F34" s="127"/>
      <c r="G34" s="36"/>
      <c r="H34" s="36">
        <f>+H579</f>
        <v>0</v>
      </c>
      <c r="I34" s="359"/>
      <c r="J34" s="280"/>
      <c r="K34" s="16">
        <f>SUMIF(I$578:I$578,"O",H$578:H$578)</f>
        <v>0</v>
      </c>
      <c r="L34" s="16">
        <f>SUMIF(I$578:I$578,"i",H$578:H$578)</f>
        <v>0</v>
      </c>
      <c r="M34" s="17">
        <f>SUM(K34:L34)</f>
        <v>0</v>
      </c>
      <c r="N34" s="119">
        <f>+H34-M34</f>
        <v>0</v>
      </c>
      <c r="T34" s="246"/>
      <c r="U34" s="246"/>
      <c r="V34" s="246"/>
    </row>
    <row r="35" spans="4:13" ht="12.75">
      <c r="D35" s="40"/>
      <c r="E35" s="19"/>
      <c r="F35" s="128"/>
      <c r="G35" s="42"/>
      <c r="H35" s="42"/>
      <c r="K35" s="15"/>
      <c r="L35" s="15"/>
      <c r="M35" s="15"/>
    </row>
    <row r="36" spans="4:13" ht="15" customHeight="1">
      <c r="D36" s="43" t="s">
        <v>283</v>
      </c>
      <c r="E36" s="44"/>
      <c r="F36" s="129"/>
      <c r="G36" s="417">
        <f>SUM(H15:H34)</f>
        <v>0</v>
      </c>
      <c r="H36" s="418"/>
      <c r="K36" s="18">
        <f>SUM(K15:K35)</f>
        <v>0</v>
      </c>
      <c r="L36" s="18">
        <f>SUM(L15:L35)</f>
        <v>0</v>
      </c>
      <c r="M36" s="18">
        <f>SUM(K36:L36)</f>
        <v>0</v>
      </c>
    </row>
    <row r="37" spans="4:8" ht="12.75">
      <c r="D37" s="45"/>
      <c r="E37" s="44"/>
      <c r="F37" s="130"/>
      <c r="G37" s="46"/>
      <c r="H37" s="47"/>
    </row>
    <row r="38" spans="4:9" ht="16.5">
      <c r="D38" s="34" t="s">
        <v>1</v>
      </c>
      <c r="E38" s="44"/>
      <c r="F38" s="130"/>
      <c r="G38" s="48"/>
      <c r="H38" s="49">
        <f>+H144</f>
        <v>0</v>
      </c>
      <c r="I38" s="361" t="e">
        <f>H38/G36</f>
        <v>#DIV/0!</v>
      </c>
    </row>
    <row r="39" spans="4:8" ht="13.5" thickBot="1">
      <c r="D39" s="51"/>
      <c r="E39" s="52"/>
      <c r="F39" s="131"/>
      <c r="G39" s="315"/>
      <c r="H39" s="42"/>
    </row>
    <row r="40" spans="4:8" ht="15.75" thickBot="1">
      <c r="D40" s="53" t="s">
        <v>116</v>
      </c>
      <c r="E40" s="54"/>
      <c r="F40" s="132"/>
      <c r="G40" s="55"/>
      <c r="H40" s="56">
        <f>+G36+H38</f>
        <v>0</v>
      </c>
    </row>
    <row r="41" spans="4:9" ht="12.75">
      <c r="D41" s="57"/>
      <c r="E41" s="58"/>
      <c r="F41" s="133"/>
      <c r="G41" s="59"/>
      <c r="H41" s="58"/>
      <c r="I41" s="218"/>
    </row>
    <row r="42" spans="4:9" ht="12.75">
      <c r="D42" s="45" t="s">
        <v>284</v>
      </c>
      <c r="E42" s="44"/>
      <c r="F42" s="130"/>
      <c r="G42" s="316">
        <v>0.15</v>
      </c>
      <c r="H42" s="50">
        <f>ROUND((G36+H38)*G42,0)</f>
        <v>0</v>
      </c>
      <c r="I42" s="218"/>
    </row>
    <row r="43" spans="4:8" ht="12.75">
      <c r="D43" s="45" t="s">
        <v>284</v>
      </c>
      <c r="E43" s="44"/>
      <c r="F43" s="130"/>
      <c r="G43" s="316">
        <v>0.21</v>
      </c>
      <c r="H43" s="50"/>
    </row>
    <row r="44" spans="4:8" ht="13.5" thickBot="1">
      <c r="D44" s="60"/>
      <c r="E44" s="61"/>
      <c r="F44" s="134"/>
      <c r="G44" s="62"/>
      <c r="H44" s="61"/>
    </row>
    <row r="45" spans="4:8" ht="16.5" thickBot="1">
      <c r="D45" s="63" t="s">
        <v>285</v>
      </c>
      <c r="E45" s="61"/>
      <c r="F45" s="134"/>
      <c r="G45" s="407">
        <f>G36+H38+H42+H43</f>
        <v>0</v>
      </c>
      <c r="H45" s="407"/>
    </row>
    <row r="48" spans="4:8" ht="15">
      <c r="D48" s="64" t="s">
        <v>2</v>
      </c>
      <c r="E48" s="65"/>
      <c r="F48" s="135"/>
      <c r="G48" s="22"/>
      <c r="H48" s="65"/>
    </row>
    <row r="49" spans="4:9" ht="12.75">
      <c r="D49" s="66" t="s">
        <v>113</v>
      </c>
      <c r="E49" s="67"/>
      <c r="F49" s="135"/>
      <c r="G49" s="22"/>
      <c r="H49" s="68">
        <f>+K36</f>
        <v>0</v>
      </c>
      <c r="I49" s="362" t="e">
        <f>+H49/G36</f>
        <v>#DIV/0!</v>
      </c>
    </row>
    <row r="50" spans="4:9" ht="12.75">
      <c r="D50" s="66" t="s">
        <v>114</v>
      </c>
      <c r="E50" s="67"/>
      <c r="F50" s="135"/>
      <c r="G50" s="22"/>
      <c r="H50" s="68">
        <f>+L36</f>
        <v>0</v>
      </c>
      <c r="I50" s="362" t="e">
        <f>+H50/G36</f>
        <v>#DIV/0!</v>
      </c>
    </row>
    <row r="51" spans="4:8" ht="12.75">
      <c r="D51" s="65"/>
      <c r="E51" s="65"/>
      <c r="F51" s="135"/>
      <c r="G51" s="22"/>
      <c r="H51" s="69"/>
    </row>
    <row r="52" spans="4:8" ht="15">
      <c r="D52" s="64" t="s">
        <v>4</v>
      </c>
      <c r="E52" s="65"/>
      <c r="F52" s="135"/>
      <c r="G52" s="22"/>
      <c r="H52" s="69"/>
    </row>
    <row r="53" spans="4:8" ht="12.75">
      <c r="D53" s="66" t="s">
        <v>113</v>
      </c>
      <c r="E53" s="67"/>
      <c r="F53" s="135"/>
      <c r="G53" s="22"/>
      <c r="H53" s="70" t="e">
        <f>+I49*H38</f>
        <v>#DIV/0!</v>
      </c>
    </row>
    <row r="54" spans="4:8" ht="12.75">
      <c r="D54" s="66" t="s">
        <v>114</v>
      </c>
      <c r="E54" s="67"/>
      <c r="F54" s="135"/>
      <c r="G54" s="22"/>
      <c r="H54" s="70" t="e">
        <f>+I50*H38</f>
        <v>#DIV/0!</v>
      </c>
    </row>
    <row r="55" spans="4:8" ht="12.75">
      <c r="D55" s="65"/>
      <c r="E55" s="65"/>
      <c r="F55" s="135"/>
      <c r="G55" s="22"/>
      <c r="H55" s="69"/>
    </row>
    <row r="56" spans="4:8" ht="15">
      <c r="D56" s="64" t="s">
        <v>3</v>
      </c>
      <c r="E56" s="65"/>
      <c r="F56" s="135"/>
      <c r="G56" s="22"/>
      <c r="H56" s="69"/>
    </row>
    <row r="57" spans="4:9" ht="12.75">
      <c r="D57" s="66" t="s">
        <v>113</v>
      </c>
      <c r="E57" s="67"/>
      <c r="F57" s="135"/>
      <c r="G57" s="22"/>
      <c r="H57" s="68" t="e">
        <f>+H49+H53</f>
        <v>#DIV/0!</v>
      </c>
      <c r="I57" s="362" t="e">
        <f>+H57/H40</f>
        <v>#DIV/0!</v>
      </c>
    </row>
    <row r="58" spans="4:9" ht="12.75">
      <c r="D58" s="66" t="s">
        <v>114</v>
      </c>
      <c r="E58" s="67"/>
      <c r="F58" s="135"/>
      <c r="G58" s="22"/>
      <c r="H58" s="68" t="e">
        <f>+H50+H54</f>
        <v>#DIV/0!</v>
      </c>
      <c r="I58" s="362" t="e">
        <f>+H58/H40</f>
        <v>#DIV/0!</v>
      </c>
    </row>
    <row r="71" spans="4:8" ht="18">
      <c r="D71" s="71" t="s">
        <v>427</v>
      </c>
      <c r="E71" s="19"/>
      <c r="F71" s="128"/>
      <c r="G71" s="41"/>
      <c r="H71" s="19"/>
    </row>
    <row r="72" ht="7.5" customHeight="1"/>
    <row r="73" ht="12.75">
      <c r="D73" s="72" t="s">
        <v>286</v>
      </c>
    </row>
    <row r="74" spans="1:12" ht="12.75">
      <c r="A74" s="19"/>
      <c r="B74" s="296"/>
      <c r="D74" s="411" t="s">
        <v>287</v>
      </c>
      <c r="E74" s="412"/>
      <c r="F74" s="412"/>
      <c r="G74" s="412"/>
      <c r="H74" s="413"/>
      <c r="J74" s="278"/>
      <c r="K74" s="104"/>
      <c r="L74" s="3"/>
    </row>
    <row r="75" spans="1:12" ht="52.5" customHeight="1">
      <c r="A75" s="19"/>
      <c r="B75" s="296"/>
      <c r="D75" s="398" t="s">
        <v>143</v>
      </c>
      <c r="E75" s="399"/>
      <c r="F75" s="399"/>
      <c r="G75" s="399"/>
      <c r="H75" s="400"/>
      <c r="J75" s="278"/>
      <c r="K75" s="104"/>
      <c r="L75" s="3"/>
    </row>
    <row r="76" spans="1:12" ht="12.75">
      <c r="A76" s="19"/>
      <c r="B76" s="296"/>
      <c r="D76" s="398" t="s">
        <v>144</v>
      </c>
      <c r="E76" s="399"/>
      <c r="F76" s="399"/>
      <c r="G76" s="399"/>
      <c r="H76" s="400"/>
      <c r="J76" s="278"/>
      <c r="K76" s="104"/>
      <c r="L76" s="3"/>
    </row>
    <row r="77" spans="1:12" ht="27" customHeight="1">
      <c r="A77" s="19"/>
      <c r="B77" s="296"/>
      <c r="D77" s="398" t="s">
        <v>145</v>
      </c>
      <c r="E77" s="399"/>
      <c r="F77" s="399"/>
      <c r="G77" s="399"/>
      <c r="H77" s="400"/>
      <c r="J77" s="278"/>
      <c r="K77" s="104"/>
      <c r="L77" s="3"/>
    </row>
    <row r="78" spans="1:12" ht="30" customHeight="1">
      <c r="A78" s="19"/>
      <c r="B78" s="296"/>
      <c r="D78" s="398" t="s">
        <v>146</v>
      </c>
      <c r="E78" s="399"/>
      <c r="F78" s="399"/>
      <c r="G78" s="399"/>
      <c r="H78" s="400"/>
      <c r="J78" s="278"/>
      <c r="K78" s="104"/>
      <c r="L78" s="3"/>
    </row>
    <row r="79" spans="1:12" ht="12.75">
      <c r="A79" s="19"/>
      <c r="B79" s="296"/>
      <c r="D79" s="398" t="s">
        <v>288</v>
      </c>
      <c r="E79" s="399"/>
      <c r="F79" s="399"/>
      <c r="G79" s="399"/>
      <c r="H79" s="400"/>
      <c r="J79" s="278"/>
      <c r="K79" s="104"/>
      <c r="L79" s="3"/>
    </row>
    <row r="80" spans="1:12" ht="54" customHeight="1">
      <c r="A80" s="19"/>
      <c r="B80" s="296"/>
      <c r="D80" s="398" t="s">
        <v>152</v>
      </c>
      <c r="E80" s="399"/>
      <c r="F80" s="399"/>
      <c r="G80" s="399"/>
      <c r="H80" s="400"/>
      <c r="J80" s="278"/>
      <c r="K80" s="104"/>
      <c r="L80" s="3"/>
    </row>
    <row r="81" spans="1:12" ht="42" customHeight="1">
      <c r="A81" s="19"/>
      <c r="B81" s="296"/>
      <c r="D81" s="398" t="s">
        <v>153</v>
      </c>
      <c r="E81" s="399"/>
      <c r="F81" s="399"/>
      <c r="G81" s="399"/>
      <c r="H81" s="400"/>
      <c r="J81" s="278"/>
      <c r="K81" s="104"/>
      <c r="L81" s="3"/>
    </row>
    <row r="82" spans="1:12" ht="12.75">
      <c r="A82" s="19"/>
      <c r="B82" s="296"/>
      <c r="D82" s="398" t="s">
        <v>154</v>
      </c>
      <c r="E82" s="399"/>
      <c r="F82" s="399"/>
      <c r="G82" s="399"/>
      <c r="H82" s="400"/>
      <c r="J82" s="278"/>
      <c r="K82" s="104"/>
      <c r="L82" s="3"/>
    </row>
    <row r="83" spans="1:12" ht="12.75">
      <c r="A83" s="19"/>
      <c r="B83" s="296"/>
      <c r="D83" s="398" t="s">
        <v>155</v>
      </c>
      <c r="E83" s="399"/>
      <c r="F83" s="399"/>
      <c r="G83" s="399"/>
      <c r="H83" s="400"/>
      <c r="J83" s="278"/>
      <c r="K83" s="104"/>
      <c r="L83" s="3"/>
    </row>
    <row r="84" spans="1:12" ht="12.75">
      <c r="A84" s="19"/>
      <c r="B84" s="296"/>
      <c r="D84" s="398" t="s">
        <v>156</v>
      </c>
      <c r="E84" s="399"/>
      <c r="F84" s="399"/>
      <c r="G84" s="399"/>
      <c r="H84" s="400"/>
      <c r="J84" s="278"/>
      <c r="K84" s="104"/>
      <c r="L84" s="3"/>
    </row>
    <row r="85" spans="1:12" ht="12.75">
      <c r="A85" s="19"/>
      <c r="B85" s="296"/>
      <c r="D85" s="398" t="s">
        <v>157</v>
      </c>
      <c r="E85" s="399"/>
      <c r="F85" s="399"/>
      <c r="G85" s="399"/>
      <c r="H85" s="400"/>
      <c r="J85" s="278"/>
      <c r="K85" s="104"/>
      <c r="L85" s="3"/>
    </row>
    <row r="86" spans="1:12" ht="24.75" customHeight="1">
      <c r="A86" s="19"/>
      <c r="B86" s="296"/>
      <c r="D86" s="398" t="s">
        <v>158</v>
      </c>
      <c r="E86" s="399"/>
      <c r="F86" s="399"/>
      <c r="G86" s="399"/>
      <c r="H86" s="400"/>
      <c r="J86" s="278"/>
      <c r="K86" s="104"/>
      <c r="L86" s="3"/>
    </row>
    <row r="87" spans="1:12" ht="36.75" customHeight="1">
      <c r="A87" s="19"/>
      <c r="B87" s="296"/>
      <c r="D87" s="398" t="s">
        <v>159</v>
      </c>
      <c r="E87" s="399"/>
      <c r="F87" s="399"/>
      <c r="G87" s="399"/>
      <c r="H87" s="400"/>
      <c r="J87" s="278"/>
      <c r="K87" s="104"/>
      <c r="L87" s="3"/>
    </row>
    <row r="88" spans="1:12" ht="12.75">
      <c r="A88" s="19"/>
      <c r="B88" s="296"/>
      <c r="D88" s="398" t="s">
        <v>160</v>
      </c>
      <c r="E88" s="399"/>
      <c r="F88" s="399"/>
      <c r="G88" s="399"/>
      <c r="H88" s="400"/>
      <c r="J88" s="278"/>
      <c r="K88" s="104"/>
      <c r="L88" s="3"/>
    </row>
    <row r="89" spans="1:12" ht="12.75">
      <c r="A89" s="19"/>
      <c r="B89" s="296"/>
      <c r="D89" s="398" t="s">
        <v>161</v>
      </c>
      <c r="E89" s="399"/>
      <c r="F89" s="399"/>
      <c r="G89" s="399"/>
      <c r="H89" s="400"/>
      <c r="J89" s="278"/>
      <c r="K89" s="104"/>
      <c r="L89" s="3"/>
    </row>
    <row r="90" spans="1:12" ht="12.75">
      <c r="A90" s="19"/>
      <c r="B90" s="296"/>
      <c r="D90" s="243"/>
      <c r="E90" s="244"/>
      <c r="F90" s="244"/>
      <c r="G90" s="244"/>
      <c r="H90" s="245"/>
      <c r="J90" s="278"/>
      <c r="K90" s="104"/>
      <c r="L90" s="3"/>
    </row>
    <row r="91" spans="1:12" ht="41.25" customHeight="1">
      <c r="A91" s="19"/>
      <c r="B91" s="296"/>
      <c r="D91" s="398" t="s">
        <v>793</v>
      </c>
      <c r="E91" s="399"/>
      <c r="F91" s="399"/>
      <c r="G91" s="399"/>
      <c r="H91" s="400"/>
      <c r="J91" s="278"/>
      <c r="K91" s="104"/>
      <c r="L91" s="3"/>
    </row>
    <row r="92" spans="1:12" ht="38.25" customHeight="1">
      <c r="A92" s="19"/>
      <c r="B92" s="296"/>
      <c r="D92" s="398" t="s">
        <v>773</v>
      </c>
      <c r="E92" s="399"/>
      <c r="F92" s="399"/>
      <c r="G92" s="399"/>
      <c r="H92" s="400"/>
      <c r="J92" s="278"/>
      <c r="K92" s="104"/>
      <c r="L92" s="3"/>
    </row>
    <row r="93" spans="1:12" ht="24.75" customHeight="1">
      <c r="A93" s="19"/>
      <c r="B93" s="296"/>
      <c r="D93" s="398" t="s">
        <v>774</v>
      </c>
      <c r="E93" s="399"/>
      <c r="F93" s="399"/>
      <c r="G93" s="399"/>
      <c r="H93" s="400"/>
      <c r="J93" s="278"/>
      <c r="K93" s="104"/>
      <c r="L93" s="3"/>
    </row>
    <row r="94" spans="1:12" ht="24.75" customHeight="1">
      <c r="A94" s="19"/>
      <c r="B94" s="296"/>
      <c r="D94" s="398" t="s">
        <v>194</v>
      </c>
      <c r="E94" s="399"/>
      <c r="F94" s="399"/>
      <c r="G94" s="399"/>
      <c r="H94" s="400"/>
      <c r="J94" s="278"/>
      <c r="K94" s="104"/>
      <c r="L94" s="3"/>
    </row>
    <row r="95" spans="1:12" ht="68.25" customHeight="1">
      <c r="A95" s="19"/>
      <c r="B95" s="296"/>
      <c r="D95" s="398" t="s">
        <v>175</v>
      </c>
      <c r="E95" s="399"/>
      <c r="F95" s="399"/>
      <c r="G95" s="399"/>
      <c r="H95" s="400"/>
      <c r="J95" s="278"/>
      <c r="K95" s="104"/>
      <c r="L95" s="3"/>
    </row>
    <row r="96" spans="1:12" ht="12.75">
      <c r="A96" s="19"/>
      <c r="B96" s="296"/>
      <c r="D96" s="398" t="s">
        <v>428</v>
      </c>
      <c r="E96" s="399"/>
      <c r="F96" s="399"/>
      <c r="G96" s="399"/>
      <c r="H96" s="400"/>
      <c r="J96" s="278"/>
      <c r="K96" s="104"/>
      <c r="L96" s="3"/>
    </row>
    <row r="97" spans="1:12" ht="79.5" customHeight="1">
      <c r="A97" s="19"/>
      <c r="B97" s="296"/>
      <c r="D97" s="398" t="s">
        <v>789</v>
      </c>
      <c r="E97" s="399"/>
      <c r="F97" s="399"/>
      <c r="G97" s="399"/>
      <c r="H97" s="400"/>
      <c r="J97" s="278"/>
      <c r="K97" s="104"/>
      <c r="L97" s="3"/>
    </row>
    <row r="98" spans="1:12" ht="41.25" customHeight="1">
      <c r="A98" s="19"/>
      <c r="B98" s="296"/>
      <c r="D98" s="398" t="s">
        <v>176</v>
      </c>
      <c r="E98" s="399"/>
      <c r="F98" s="399"/>
      <c r="G98" s="399"/>
      <c r="H98" s="400"/>
      <c r="J98" s="278"/>
      <c r="K98" s="104"/>
      <c r="L98" s="3"/>
    </row>
    <row r="99" spans="5:8" ht="12.75">
      <c r="E99" s="73"/>
      <c r="F99" s="136"/>
      <c r="G99" s="74"/>
      <c r="H99" s="73"/>
    </row>
    <row r="100" spans="4:8" ht="18.75" customHeight="1">
      <c r="D100" s="396" t="s">
        <v>804</v>
      </c>
      <c r="E100" s="396"/>
      <c r="F100" s="396"/>
      <c r="G100" s="396"/>
      <c r="H100" s="396"/>
    </row>
    <row r="101" spans="1:8" ht="14.25" customHeight="1">
      <c r="A101" s="175"/>
      <c r="B101" s="297"/>
      <c r="C101" s="75"/>
      <c r="D101" s="396" t="s">
        <v>803</v>
      </c>
      <c r="E101" s="396"/>
      <c r="F101" s="396"/>
      <c r="G101" s="396"/>
      <c r="H101" s="396"/>
    </row>
    <row r="102" spans="5:8" ht="12.75">
      <c r="E102" s="73"/>
      <c r="F102" s="136"/>
      <c r="G102" s="74"/>
      <c r="H102" s="73"/>
    </row>
    <row r="103" spans="5:8" ht="12.75">
      <c r="E103" s="73"/>
      <c r="F103" s="136"/>
      <c r="G103" s="74"/>
      <c r="H103" s="73"/>
    </row>
    <row r="104" spans="5:8" ht="12.75">
      <c r="E104" s="73"/>
      <c r="F104" s="136"/>
      <c r="G104" s="74"/>
      <c r="H104" s="73"/>
    </row>
    <row r="105" spans="5:8" ht="12.75">
      <c r="E105" s="73"/>
      <c r="F105" s="136"/>
      <c r="G105" s="74"/>
      <c r="H105" s="73"/>
    </row>
    <row r="106" spans="5:8" ht="12.75">
      <c r="E106" s="73"/>
      <c r="F106" s="136"/>
      <c r="G106" s="74"/>
      <c r="H106" s="73"/>
    </row>
    <row r="107" spans="5:8" ht="12.75">
      <c r="E107" s="73"/>
      <c r="F107" s="136"/>
      <c r="G107" s="74"/>
      <c r="H107" s="73"/>
    </row>
    <row r="108" spans="5:8" ht="12.75">
      <c r="E108" s="73"/>
      <c r="F108" s="136"/>
      <c r="G108" s="74"/>
      <c r="H108" s="73"/>
    </row>
    <row r="109" spans="5:8" ht="12.75">
      <c r="E109" s="73"/>
      <c r="F109" s="136"/>
      <c r="G109" s="74"/>
      <c r="H109" s="73"/>
    </row>
    <row r="110" spans="5:8" ht="12.75">
      <c r="E110" s="73"/>
      <c r="F110" s="136"/>
      <c r="G110" s="74"/>
      <c r="H110" s="73"/>
    </row>
    <row r="111" spans="5:8" ht="12.75">
      <c r="E111" s="73"/>
      <c r="F111" s="136"/>
      <c r="G111" s="74"/>
      <c r="H111" s="73"/>
    </row>
    <row r="112" spans="5:8" ht="12.75">
      <c r="E112" s="73"/>
      <c r="F112" s="136"/>
      <c r="G112" s="74"/>
      <c r="H112" s="73"/>
    </row>
    <row r="113" spans="5:8" ht="12.75">
      <c r="E113" s="73"/>
      <c r="F113" s="136"/>
      <c r="G113" s="74"/>
      <c r="H113" s="73"/>
    </row>
    <row r="114" spans="5:8" ht="12.75">
      <c r="E114" s="73"/>
      <c r="F114" s="136"/>
      <c r="G114" s="74"/>
      <c r="H114" s="73"/>
    </row>
    <row r="115" spans="5:8" ht="12.75">
      <c r="E115" s="73"/>
      <c r="F115" s="136"/>
      <c r="G115" s="74"/>
      <c r="H115" s="73"/>
    </row>
    <row r="116" spans="5:8" ht="12.75">
      <c r="E116" s="73"/>
      <c r="F116" s="136"/>
      <c r="G116" s="74"/>
      <c r="H116" s="73"/>
    </row>
    <row r="117" spans="5:8" ht="12.75">
      <c r="E117" s="73"/>
      <c r="F117" s="136"/>
      <c r="G117" s="74"/>
      <c r="H117" s="73"/>
    </row>
    <row r="118" spans="5:8" ht="12.75">
      <c r="E118" s="73"/>
      <c r="F118" s="136"/>
      <c r="G118" s="74"/>
      <c r="H118" s="73"/>
    </row>
    <row r="119" spans="5:8" ht="12.75">
      <c r="E119" s="73"/>
      <c r="F119" s="136"/>
      <c r="G119" s="74"/>
      <c r="H119" s="73"/>
    </row>
    <row r="120" spans="1:11" ht="27.75" customHeight="1">
      <c r="A120" s="175"/>
      <c r="B120" s="298"/>
      <c r="C120" s="225"/>
      <c r="D120" s="176" t="s">
        <v>348</v>
      </c>
      <c r="E120" s="177"/>
      <c r="F120" s="178"/>
      <c r="G120" s="41"/>
      <c r="H120" s="179"/>
      <c r="I120" s="109"/>
      <c r="K120" s="1"/>
    </row>
    <row r="121" spans="1:11" ht="14.25" customHeight="1">
      <c r="A121" s="175"/>
      <c r="B121" s="298"/>
      <c r="C121" s="210"/>
      <c r="D121" s="77" t="s">
        <v>348</v>
      </c>
      <c r="E121" s="180" t="s">
        <v>349</v>
      </c>
      <c r="F121" s="181" t="s">
        <v>350</v>
      </c>
      <c r="G121" s="182" t="s">
        <v>351</v>
      </c>
      <c r="H121" s="182" t="s">
        <v>352</v>
      </c>
      <c r="I121" s="109"/>
      <c r="K121" s="1"/>
    </row>
    <row r="122" spans="1:11" ht="14.25" customHeight="1">
      <c r="A122" s="175"/>
      <c r="B122" s="298"/>
      <c r="C122" s="210" t="s">
        <v>353</v>
      </c>
      <c r="D122" s="148" t="s">
        <v>354</v>
      </c>
      <c r="E122" s="183"/>
      <c r="F122" s="184"/>
      <c r="G122" s="185"/>
      <c r="H122" s="185"/>
      <c r="I122" s="109"/>
      <c r="K122" s="1"/>
    </row>
    <row r="123" spans="1:11" ht="18.75" customHeight="1">
      <c r="A123" s="175"/>
      <c r="B123" s="299">
        <f>B122+1</f>
        <v>1</v>
      </c>
      <c r="C123" s="195"/>
      <c r="D123" s="82" t="s">
        <v>516</v>
      </c>
      <c r="E123" s="84" t="s">
        <v>775</v>
      </c>
      <c r="F123" s="186">
        <v>1</v>
      </c>
      <c r="G123" s="367"/>
      <c r="H123" s="85">
        <f>F123*G123</f>
        <v>0</v>
      </c>
      <c r="I123" s="109"/>
      <c r="K123" s="1"/>
    </row>
    <row r="124" spans="1:11" ht="18.75" customHeight="1">
      <c r="A124" s="219"/>
      <c r="B124" s="299">
        <v>2</v>
      </c>
      <c r="C124" s="195"/>
      <c r="D124" s="240" t="s">
        <v>177</v>
      </c>
      <c r="E124" s="241" t="s">
        <v>775</v>
      </c>
      <c r="F124" s="242">
        <v>1</v>
      </c>
      <c r="G124" s="368"/>
      <c r="H124" s="85">
        <f>F124*G124</f>
        <v>0</v>
      </c>
      <c r="I124" s="109"/>
      <c r="K124" s="109"/>
    </row>
    <row r="125" spans="1:11" ht="14.25" customHeight="1">
      <c r="A125" s="175"/>
      <c r="B125" s="299"/>
      <c r="C125" s="210" t="s">
        <v>355</v>
      </c>
      <c r="D125" s="148" t="s">
        <v>356</v>
      </c>
      <c r="E125" s="183"/>
      <c r="F125" s="184"/>
      <c r="G125" s="185"/>
      <c r="H125" s="185"/>
      <c r="I125" s="109"/>
      <c r="K125" s="1"/>
    </row>
    <row r="126" spans="1:11" ht="14.25" customHeight="1">
      <c r="A126" s="175"/>
      <c r="B126" s="299">
        <v>3</v>
      </c>
      <c r="C126" s="195"/>
      <c r="D126" s="82" t="s">
        <v>357</v>
      </c>
      <c r="E126" s="84" t="s">
        <v>775</v>
      </c>
      <c r="F126" s="186">
        <v>1</v>
      </c>
      <c r="G126" s="367"/>
      <c r="H126" s="85">
        <f>F126*G126</f>
        <v>0</v>
      </c>
      <c r="I126" s="109"/>
      <c r="K126" s="1"/>
    </row>
    <row r="127" spans="1:11" ht="138.75" customHeight="1">
      <c r="A127" s="175"/>
      <c r="B127" s="298"/>
      <c r="C127" s="225"/>
      <c r="D127" s="406" t="s">
        <v>0</v>
      </c>
      <c r="E127" s="406"/>
      <c r="F127" s="406"/>
      <c r="G127" s="406"/>
      <c r="H127" s="406"/>
      <c r="I127" s="109"/>
      <c r="K127" s="1"/>
    </row>
    <row r="128" spans="1:11" ht="14.25" customHeight="1">
      <c r="A128" s="175"/>
      <c r="B128" s="298"/>
      <c r="C128" s="210" t="s">
        <v>358</v>
      </c>
      <c r="D128" s="148" t="s">
        <v>359</v>
      </c>
      <c r="E128" s="183"/>
      <c r="F128" s="184"/>
      <c r="G128" s="185"/>
      <c r="H128" s="185"/>
      <c r="I128" s="109"/>
      <c r="K128" s="1"/>
    </row>
    <row r="129" spans="1:11" ht="38.25">
      <c r="A129" s="175"/>
      <c r="B129" s="299">
        <f>B126+1</f>
        <v>4</v>
      </c>
      <c r="C129" s="195"/>
      <c r="D129" s="82" t="s">
        <v>360</v>
      </c>
      <c r="E129" s="84" t="s">
        <v>775</v>
      </c>
      <c r="F129" s="186">
        <v>1</v>
      </c>
      <c r="G129" s="367"/>
      <c r="H129" s="85">
        <f>F129*G129</f>
        <v>0</v>
      </c>
      <c r="I129" s="109"/>
      <c r="K129" s="1"/>
    </row>
    <row r="130" spans="1:11" ht="155.25" customHeight="1">
      <c r="A130" s="175"/>
      <c r="B130" s="298"/>
      <c r="C130" s="225"/>
      <c r="D130" s="403" t="s">
        <v>61</v>
      </c>
      <c r="E130" s="403"/>
      <c r="F130" s="403"/>
      <c r="G130" s="403"/>
      <c r="H130" s="403"/>
      <c r="I130" s="109"/>
      <c r="K130" s="1"/>
    </row>
    <row r="131" spans="1:11" ht="14.25" customHeight="1">
      <c r="A131" s="175"/>
      <c r="B131" s="298"/>
      <c r="C131" s="210" t="s">
        <v>361</v>
      </c>
      <c r="D131" s="148" t="s">
        <v>362</v>
      </c>
      <c r="E131" s="183"/>
      <c r="F131" s="184"/>
      <c r="G131" s="185"/>
      <c r="H131" s="185"/>
      <c r="I131" s="109"/>
      <c r="K131" s="1"/>
    </row>
    <row r="132" spans="1:11" ht="51" customHeight="1" hidden="1">
      <c r="A132" s="175"/>
      <c r="B132" s="299"/>
      <c r="C132" s="195"/>
      <c r="D132" s="82" t="s">
        <v>363</v>
      </c>
      <c r="E132" s="84" t="s">
        <v>775</v>
      </c>
      <c r="F132" s="186">
        <v>1</v>
      </c>
      <c r="G132" s="123"/>
      <c r="H132" s="85">
        <f>F132*G132</f>
        <v>0</v>
      </c>
      <c r="I132" s="109"/>
      <c r="K132" s="1"/>
    </row>
    <row r="133" spans="1:11" ht="89.25">
      <c r="A133" s="175"/>
      <c r="B133" s="299">
        <f>B129+1</f>
        <v>5</v>
      </c>
      <c r="C133" s="195"/>
      <c r="D133" s="82" t="s">
        <v>179</v>
      </c>
      <c r="E133" s="84" t="s">
        <v>775</v>
      </c>
      <c r="F133" s="186">
        <v>1</v>
      </c>
      <c r="G133" s="367"/>
      <c r="H133" s="85">
        <f>F133*G133</f>
        <v>0</v>
      </c>
      <c r="I133" s="109"/>
      <c r="K133" s="1"/>
    </row>
    <row r="134" spans="1:8" ht="25.5" customHeight="1" hidden="1">
      <c r="A134" s="175"/>
      <c r="B134" s="299"/>
      <c r="C134" s="195"/>
      <c r="D134" s="82" t="s">
        <v>364</v>
      </c>
      <c r="E134" s="84" t="s">
        <v>775</v>
      </c>
      <c r="F134" s="186">
        <v>1</v>
      </c>
      <c r="G134" s="123"/>
      <c r="H134" s="85">
        <f>F134*G134</f>
        <v>0</v>
      </c>
    </row>
    <row r="135" spans="1:8" ht="14.25" customHeight="1">
      <c r="A135" s="175"/>
      <c r="B135" s="298"/>
      <c r="C135" s="210" t="s">
        <v>365</v>
      </c>
      <c r="D135" s="148" t="s">
        <v>366</v>
      </c>
      <c r="E135" s="183"/>
      <c r="F135" s="184"/>
      <c r="G135" s="185"/>
      <c r="H135" s="185"/>
    </row>
    <row r="136" spans="1:8" ht="66.75" customHeight="1">
      <c r="A136" s="175"/>
      <c r="B136" s="299">
        <f>+B133+1</f>
        <v>6</v>
      </c>
      <c r="C136" s="195"/>
      <c r="D136" s="82" t="s">
        <v>336</v>
      </c>
      <c r="E136" s="84" t="s">
        <v>775</v>
      </c>
      <c r="F136" s="186">
        <v>1</v>
      </c>
      <c r="G136" s="367"/>
      <c r="H136" s="85">
        <f>F136*G136</f>
        <v>0</v>
      </c>
    </row>
    <row r="137" spans="1:8" ht="14.25" customHeight="1">
      <c r="A137" s="175"/>
      <c r="B137" s="299"/>
      <c r="C137" s="210" t="s">
        <v>367</v>
      </c>
      <c r="D137" s="148" t="s">
        <v>368</v>
      </c>
      <c r="E137" s="183"/>
      <c r="F137" s="184"/>
      <c r="G137" s="185"/>
      <c r="H137" s="185"/>
    </row>
    <row r="138" spans="1:8" ht="146.25" customHeight="1">
      <c r="A138" s="175"/>
      <c r="B138" s="299">
        <f>+B136+1</f>
        <v>7</v>
      </c>
      <c r="C138" s="195"/>
      <c r="D138" s="82" t="s">
        <v>62</v>
      </c>
      <c r="E138" s="84" t="s">
        <v>775</v>
      </c>
      <c r="F138" s="186">
        <v>1</v>
      </c>
      <c r="G138" s="367"/>
      <c r="H138" s="85">
        <f>F138*G138</f>
        <v>0</v>
      </c>
    </row>
    <row r="139" spans="1:8" ht="14.25" customHeight="1">
      <c r="A139" s="175"/>
      <c r="B139" s="299"/>
      <c r="C139" s="210" t="s">
        <v>369</v>
      </c>
      <c r="D139" s="148" t="s">
        <v>370</v>
      </c>
      <c r="E139" s="183"/>
      <c r="F139" s="184"/>
      <c r="G139" s="185"/>
      <c r="H139" s="185"/>
    </row>
    <row r="140" spans="1:8" ht="25.5">
      <c r="A140" s="175"/>
      <c r="B140" s="299">
        <v>8</v>
      </c>
      <c r="C140" s="195"/>
      <c r="D140" s="82" t="s">
        <v>371</v>
      </c>
      <c r="E140" s="84" t="s">
        <v>775</v>
      </c>
      <c r="F140" s="186">
        <v>1</v>
      </c>
      <c r="G140" s="367"/>
      <c r="H140" s="85">
        <f>F140*G140</f>
        <v>0</v>
      </c>
    </row>
    <row r="141" spans="1:8" ht="105" customHeight="1">
      <c r="A141" s="175"/>
      <c r="B141" s="299"/>
      <c r="C141" s="195"/>
      <c r="D141" s="404" t="s">
        <v>178</v>
      </c>
      <c r="E141" s="404"/>
      <c r="F141" s="404"/>
      <c r="G141" s="404"/>
      <c r="H141" s="404"/>
    </row>
    <row r="142" spans="1:8" ht="14.25" customHeight="1">
      <c r="A142" s="175"/>
      <c r="B142" s="299">
        <v>9</v>
      </c>
      <c r="C142" s="195"/>
      <c r="D142" s="82" t="s">
        <v>335</v>
      </c>
      <c r="E142" s="84" t="s">
        <v>775</v>
      </c>
      <c r="F142" s="186">
        <v>1</v>
      </c>
      <c r="G142" s="367"/>
      <c r="H142" s="85">
        <f>F142*G142</f>
        <v>0</v>
      </c>
    </row>
    <row r="143" spans="1:8" ht="72" customHeight="1" thickBot="1">
      <c r="A143" s="175"/>
      <c r="B143" s="298"/>
      <c r="C143" s="225"/>
      <c r="D143" s="405" t="s">
        <v>406</v>
      </c>
      <c r="E143" s="405"/>
      <c r="F143" s="405"/>
      <c r="G143" s="405"/>
      <c r="H143" s="405"/>
    </row>
    <row r="144" spans="1:8" ht="14.25" customHeight="1" thickBot="1">
      <c r="A144" s="175"/>
      <c r="B144" s="298"/>
      <c r="C144" s="225"/>
      <c r="D144" s="95" t="s">
        <v>777</v>
      </c>
      <c r="E144" s="96"/>
      <c r="F144" s="189"/>
      <c r="G144" s="97"/>
      <c r="H144" s="190">
        <f>ROUNDUP(SUBTOTAL(9,H123:H143),0)</f>
        <v>0</v>
      </c>
    </row>
    <row r="145" spans="1:8" ht="14.25" customHeight="1">
      <c r="A145" s="175"/>
      <c r="B145" s="298"/>
      <c r="C145" s="225"/>
      <c r="D145" s="191"/>
      <c r="E145" s="90"/>
      <c r="F145" s="192"/>
      <c r="G145" s="317"/>
      <c r="H145" s="193"/>
    </row>
    <row r="146" spans="1:12" ht="24.75" customHeight="1">
      <c r="A146" s="219"/>
      <c r="B146" s="300" t="s">
        <v>85</v>
      </c>
      <c r="C146" s="220" t="s">
        <v>86</v>
      </c>
      <c r="D146" s="40"/>
      <c r="E146" s="19"/>
      <c r="F146" s="22"/>
      <c r="G146" s="22"/>
      <c r="I146" s="155" t="s">
        <v>87</v>
      </c>
      <c r="K146" s="109"/>
      <c r="L146" s="3"/>
    </row>
    <row r="147" spans="1:22" s="4" customFormat="1" ht="16.5">
      <c r="A147" s="221"/>
      <c r="B147" s="301"/>
      <c r="C147" s="76">
        <v>1</v>
      </c>
      <c r="D147" s="402" t="s">
        <v>117</v>
      </c>
      <c r="E147" s="402"/>
      <c r="F147" s="402"/>
      <c r="G147" s="402"/>
      <c r="H147" s="402"/>
      <c r="I147" s="222"/>
      <c r="J147" s="282"/>
      <c r="K147" s="105"/>
      <c r="L147" s="7"/>
      <c r="T147" s="247"/>
      <c r="U147" s="247"/>
      <c r="V147" s="247"/>
    </row>
    <row r="148" spans="1:19" ht="12.75">
      <c r="A148" s="223">
        <v>10</v>
      </c>
      <c r="B148" s="302" t="s">
        <v>303</v>
      </c>
      <c r="C148" s="78"/>
      <c r="D148" s="79" t="s">
        <v>451</v>
      </c>
      <c r="E148" s="80" t="s">
        <v>778</v>
      </c>
      <c r="F148" s="137">
        <v>2</v>
      </c>
      <c r="G148" s="369"/>
      <c r="H148" s="81">
        <f>F148*G148</f>
        <v>0</v>
      </c>
      <c r="I148" s="157" t="s">
        <v>112</v>
      </c>
      <c r="J148" s="278"/>
      <c r="K148" s="104"/>
      <c r="L148" s="3"/>
      <c r="O148" s="3"/>
      <c r="Q148" s="8">
        <v>0.014</v>
      </c>
      <c r="R148" s="8">
        <f>Q148*F148</f>
        <v>0.028</v>
      </c>
      <c r="S148" t="s">
        <v>550</v>
      </c>
    </row>
    <row r="149" spans="1:19" ht="12.75">
      <c r="A149" s="223">
        <f aca="true" t="shared" si="4" ref="A149:A160">A148+1</f>
        <v>11</v>
      </c>
      <c r="B149" s="303" t="s">
        <v>596</v>
      </c>
      <c r="C149" s="195"/>
      <c r="D149" s="82" t="s">
        <v>597</v>
      </c>
      <c r="E149" s="84" t="s">
        <v>778</v>
      </c>
      <c r="F149" s="141">
        <v>1</v>
      </c>
      <c r="G149" s="369"/>
      <c r="H149" s="85">
        <f>F149*G149</f>
        <v>0</v>
      </c>
      <c r="I149" s="157" t="s">
        <v>112</v>
      </c>
      <c r="J149" s="278"/>
      <c r="K149" s="104"/>
      <c r="L149" s="3"/>
      <c r="O149" s="3"/>
      <c r="Q149" s="8">
        <v>0.006</v>
      </c>
      <c r="R149" s="8">
        <f>Q149*F149</f>
        <v>0.006</v>
      </c>
      <c r="S149" t="s">
        <v>550</v>
      </c>
    </row>
    <row r="150" spans="1:19" ht="25.5">
      <c r="A150" s="223">
        <f t="shared" si="4"/>
        <v>12</v>
      </c>
      <c r="B150" s="303" t="s">
        <v>522</v>
      </c>
      <c r="C150" s="195"/>
      <c r="D150" s="82" t="s">
        <v>458</v>
      </c>
      <c r="E150" s="84" t="s">
        <v>778</v>
      </c>
      <c r="F150" s="141">
        <v>3</v>
      </c>
      <c r="G150" s="369"/>
      <c r="H150" s="85">
        <f>F150*G150</f>
        <v>0</v>
      </c>
      <c r="I150" s="157" t="s">
        <v>112</v>
      </c>
      <c r="J150" s="278"/>
      <c r="K150" s="104"/>
      <c r="L150" s="3"/>
      <c r="O150" s="3"/>
      <c r="Q150" s="8">
        <v>0.006</v>
      </c>
      <c r="R150" s="8">
        <f>Q150*F150</f>
        <v>0.018000000000000002</v>
      </c>
      <c r="S150" t="s">
        <v>550</v>
      </c>
    </row>
    <row r="151" spans="1:19" ht="12.75">
      <c r="A151" s="223">
        <f t="shared" si="4"/>
        <v>13</v>
      </c>
      <c r="B151" s="303" t="s">
        <v>65</v>
      </c>
      <c r="C151" s="195"/>
      <c r="D151" s="82" t="s">
        <v>445</v>
      </c>
      <c r="E151" s="84" t="s">
        <v>776</v>
      </c>
      <c r="F151" s="137">
        <f>0.32*0.62</f>
        <v>0.1984</v>
      </c>
      <c r="G151" s="369"/>
      <c r="H151" s="85">
        <f>F151*G151</f>
        <v>0</v>
      </c>
      <c r="I151" s="157" t="s">
        <v>112</v>
      </c>
      <c r="K151" s="230"/>
      <c r="L151" s="22"/>
      <c r="M151" s="22"/>
      <c r="N151" s="230"/>
      <c r="O151" s="22"/>
      <c r="P151" s="124"/>
      <c r="Q151" s="124">
        <f>0.06*0.06*(2*1.5+2*1.5)*0.6*2</f>
        <v>0.025920000000000002</v>
      </c>
      <c r="R151" s="65" t="s">
        <v>550</v>
      </c>
      <c r="S151" s="22"/>
    </row>
    <row r="152" spans="1:19" ht="12.75">
      <c r="A152" s="223">
        <f t="shared" si="4"/>
        <v>14</v>
      </c>
      <c r="B152" s="302" t="s">
        <v>44</v>
      </c>
      <c r="C152" s="78"/>
      <c r="D152" s="79" t="s">
        <v>45</v>
      </c>
      <c r="E152" s="80" t="s">
        <v>778</v>
      </c>
      <c r="F152" s="137">
        <v>3</v>
      </c>
      <c r="G152" s="369"/>
      <c r="H152" s="81">
        <f>F152*G152</f>
        <v>0</v>
      </c>
      <c r="I152" s="157" t="s">
        <v>112</v>
      </c>
      <c r="J152" s="278"/>
      <c r="K152" s="104"/>
      <c r="L152" s="3"/>
      <c r="O152" s="3"/>
      <c r="Q152" s="8">
        <v>0.057</v>
      </c>
      <c r="R152" s="8">
        <f>Q152*F152</f>
        <v>0.171</v>
      </c>
      <c r="S152"/>
    </row>
    <row r="153" spans="1:19" ht="12.75">
      <c r="A153" s="223">
        <f t="shared" si="4"/>
        <v>15</v>
      </c>
      <c r="B153" s="302" t="s">
        <v>88</v>
      </c>
      <c r="C153" s="78"/>
      <c r="D153" s="79" t="s">
        <v>89</v>
      </c>
      <c r="E153" s="80" t="s">
        <v>778</v>
      </c>
      <c r="F153" s="137">
        <v>6</v>
      </c>
      <c r="G153" s="369"/>
      <c r="H153" s="81">
        <f aca="true" t="shared" si="5" ref="H153:H160">F153*G153</f>
        <v>0</v>
      </c>
      <c r="I153" s="157" t="s">
        <v>112</v>
      </c>
      <c r="J153" s="278"/>
      <c r="K153" s="104"/>
      <c r="L153" s="3"/>
      <c r="O153" s="3"/>
      <c r="Q153" s="8"/>
      <c r="R153" s="8"/>
      <c r="S153"/>
    </row>
    <row r="154" spans="1:19" ht="12.75">
      <c r="A154" s="223">
        <f t="shared" si="4"/>
        <v>16</v>
      </c>
      <c r="B154" s="302" t="s">
        <v>499</v>
      </c>
      <c r="C154" s="78"/>
      <c r="D154" s="79" t="s">
        <v>90</v>
      </c>
      <c r="E154" s="80" t="s">
        <v>779</v>
      </c>
      <c r="F154" s="137">
        <f>1.31+1.34+1.33+2.09+1.04</f>
        <v>7.11</v>
      </c>
      <c r="G154" s="369"/>
      <c r="H154" s="81">
        <f t="shared" si="5"/>
        <v>0</v>
      </c>
      <c r="I154" s="157" t="s">
        <v>112</v>
      </c>
      <c r="J154" s="278"/>
      <c r="K154" s="104"/>
      <c r="L154" s="3"/>
      <c r="O154" s="3"/>
      <c r="Q154" s="8"/>
      <c r="R154" s="8"/>
      <c r="S154"/>
    </row>
    <row r="155" spans="1:19" ht="12.75">
      <c r="A155" s="223">
        <f t="shared" si="4"/>
        <v>17</v>
      </c>
      <c r="B155" s="393" t="s">
        <v>892</v>
      </c>
      <c r="C155" s="394"/>
      <c r="D155" s="395" t="s">
        <v>893</v>
      </c>
      <c r="E155" s="80" t="s">
        <v>778</v>
      </c>
      <c r="F155" s="137">
        <v>1</v>
      </c>
      <c r="G155" s="369"/>
      <c r="H155" s="81">
        <f t="shared" si="5"/>
        <v>0</v>
      </c>
      <c r="I155" s="157" t="s">
        <v>112</v>
      </c>
      <c r="J155" s="278"/>
      <c r="K155" s="104"/>
      <c r="L155" s="3"/>
      <c r="O155" s="3"/>
      <c r="Q155" s="8">
        <v>0.0092</v>
      </c>
      <c r="R155" s="8">
        <f>F155*Q155</f>
        <v>0.0092</v>
      </c>
      <c r="S155"/>
    </row>
    <row r="156" spans="1:19" ht="12.75">
      <c r="A156" s="223">
        <f t="shared" si="4"/>
        <v>18</v>
      </c>
      <c r="B156" s="393" t="s">
        <v>894</v>
      </c>
      <c r="C156" s="394"/>
      <c r="D156" s="395" t="s">
        <v>895</v>
      </c>
      <c r="E156" s="80" t="s">
        <v>778</v>
      </c>
      <c r="F156" s="137">
        <v>1</v>
      </c>
      <c r="G156" s="369"/>
      <c r="H156" s="81">
        <f t="shared" si="5"/>
        <v>0</v>
      </c>
      <c r="I156" s="157" t="s">
        <v>112</v>
      </c>
      <c r="J156" s="278"/>
      <c r="K156" s="104"/>
      <c r="L156" s="3"/>
      <c r="O156" s="3"/>
      <c r="Q156" s="8">
        <v>0.1881</v>
      </c>
      <c r="R156" s="8">
        <f>F156*Q156</f>
        <v>0.1881</v>
      </c>
      <c r="S156" t="s">
        <v>550</v>
      </c>
    </row>
    <row r="157" spans="1:19" ht="12.75">
      <c r="A157" s="223">
        <f t="shared" si="4"/>
        <v>19</v>
      </c>
      <c r="B157" s="302" t="s">
        <v>104</v>
      </c>
      <c r="C157" s="78"/>
      <c r="D157" s="79" t="s">
        <v>743</v>
      </c>
      <c r="E157" s="80" t="s">
        <v>775</v>
      </c>
      <c r="F157" s="137">
        <v>1</v>
      </c>
      <c r="G157" s="369"/>
      <c r="H157" s="81">
        <f t="shared" si="5"/>
        <v>0</v>
      </c>
      <c r="I157" s="157" t="s">
        <v>112</v>
      </c>
      <c r="J157" s="278"/>
      <c r="K157" s="104"/>
      <c r="L157" s="3"/>
      <c r="O157" s="3"/>
      <c r="Q157" s="8">
        <f>0.1104*2</f>
        <v>0.2208</v>
      </c>
      <c r="R157" s="8">
        <f>F157*Q157</f>
        <v>0.2208</v>
      </c>
      <c r="S157" t="s">
        <v>550</v>
      </c>
    </row>
    <row r="158" spans="1:19" ht="12.75">
      <c r="A158" s="223">
        <f t="shared" si="4"/>
        <v>20</v>
      </c>
      <c r="B158" s="302" t="s">
        <v>499</v>
      </c>
      <c r="C158" s="78"/>
      <c r="D158" s="79" t="s">
        <v>612</v>
      </c>
      <c r="E158" s="80" t="s">
        <v>775</v>
      </c>
      <c r="F158" s="137">
        <v>1</v>
      </c>
      <c r="G158" s="369"/>
      <c r="H158" s="81">
        <f t="shared" si="5"/>
        <v>0</v>
      </c>
      <c r="I158" s="157" t="s">
        <v>112</v>
      </c>
      <c r="J158" s="278"/>
      <c r="K158" s="104"/>
      <c r="L158" s="3"/>
      <c r="O158" s="3"/>
      <c r="Q158" s="8"/>
      <c r="R158" s="8"/>
      <c r="S158"/>
    </row>
    <row r="159" spans="1:19" ht="12.75">
      <c r="A159" s="223">
        <f t="shared" si="4"/>
        <v>21</v>
      </c>
      <c r="B159" s="302" t="s">
        <v>849</v>
      </c>
      <c r="C159" s="78"/>
      <c r="D159" s="79" t="s">
        <v>848</v>
      </c>
      <c r="E159" s="80" t="s">
        <v>776</v>
      </c>
      <c r="F159" s="137">
        <f>+F243</f>
        <v>204.39010000000002</v>
      </c>
      <c r="G159" s="369"/>
      <c r="H159" s="81">
        <f t="shared" si="5"/>
        <v>0</v>
      </c>
      <c r="I159" s="157" t="s">
        <v>112</v>
      </c>
      <c r="J159" s="278"/>
      <c r="K159" s="104"/>
      <c r="L159" s="3"/>
      <c r="O159" s="3"/>
      <c r="Q159" s="8">
        <v>0.004</v>
      </c>
      <c r="R159" s="8">
        <f>F159*Q159*0.1</f>
        <v>0.08175604000000002</v>
      </c>
      <c r="S159"/>
    </row>
    <row r="160" spans="1:19" ht="25.5">
      <c r="A160" s="223">
        <f t="shared" si="4"/>
        <v>22</v>
      </c>
      <c r="B160" s="302" t="s">
        <v>91</v>
      </c>
      <c r="C160" s="78"/>
      <c r="D160" s="152" t="s">
        <v>92</v>
      </c>
      <c r="E160" s="80" t="s">
        <v>776</v>
      </c>
      <c r="F160" s="137">
        <f>SUM(E161:E162)</f>
        <v>9.221899999999998</v>
      </c>
      <c r="G160" s="369"/>
      <c r="H160" s="81">
        <f t="shared" si="5"/>
        <v>0</v>
      </c>
      <c r="I160" s="218" t="s">
        <v>112</v>
      </c>
      <c r="J160" s="283"/>
      <c r="K160" s="104"/>
      <c r="L160" s="3"/>
      <c r="O160" s="3"/>
      <c r="Q160" s="1">
        <v>0.046</v>
      </c>
      <c r="R160" s="8">
        <f>F160*Q160</f>
        <v>0.4242073999999999</v>
      </c>
      <c r="S160"/>
    </row>
    <row r="161" spans="1:19" ht="12.75">
      <c r="A161" s="223"/>
      <c r="B161" s="302"/>
      <c r="C161" s="78"/>
      <c r="D161" s="83" t="s">
        <v>616</v>
      </c>
      <c r="E161" s="107">
        <f>7.3*(2.4-1.51)-0.75*(2.02-1.51)-0.32*0.62</f>
        <v>5.916099999999998</v>
      </c>
      <c r="F161" s="137"/>
      <c r="G161" s="369"/>
      <c r="H161" s="81"/>
      <c r="I161" s="218"/>
      <c r="J161" s="283"/>
      <c r="K161" s="104"/>
      <c r="L161" s="3"/>
      <c r="O161" s="3"/>
      <c r="R161" s="8"/>
      <c r="S161"/>
    </row>
    <row r="162" spans="1:19" ht="25.5">
      <c r="A162" s="223"/>
      <c r="B162" s="302"/>
      <c r="C162" s="78"/>
      <c r="D162" s="115" t="s">
        <v>617</v>
      </c>
      <c r="E162" s="107">
        <f>8.64*(2.4-1.96)-0.9*(2.02-1.96)-0.75*(2.02-1.96)-2*0.32*0.62</f>
        <v>3.3057999999999996</v>
      </c>
      <c r="F162" s="137"/>
      <c r="G162" s="369"/>
      <c r="H162" s="81"/>
      <c r="I162" s="218"/>
      <c r="J162" s="283"/>
      <c r="K162" s="104"/>
      <c r="L162" s="3"/>
      <c r="O162" s="3"/>
      <c r="R162" s="8"/>
      <c r="S162"/>
    </row>
    <row r="163" spans="1:19" ht="13.5" customHeight="1">
      <c r="A163" s="223">
        <f>A160+1</f>
        <v>23</v>
      </c>
      <c r="B163" s="302" t="s">
        <v>571</v>
      </c>
      <c r="C163" s="78"/>
      <c r="D163" s="79" t="s">
        <v>536</v>
      </c>
      <c r="E163" s="80" t="s">
        <v>776</v>
      </c>
      <c r="F163" s="137">
        <f>SUM(E164:E166)</f>
        <v>42.8448</v>
      </c>
      <c r="G163" s="369"/>
      <c r="H163" s="81">
        <f>F163*G163</f>
        <v>0</v>
      </c>
      <c r="I163" s="218" t="s">
        <v>112</v>
      </c>
      <c r="J163" s="283"/>
      <c r="K163" s="104"/>
      <c r="L163" s="3"/>
      <c r="O163" s="3"/>
      <c r="Q163" s="1">
        <v>0.068</v>
      </c>
      <c r="R163" s="8">
        <f>+F163*Q163</f>
        <v>2.9134464</v>
      </c>
      <c r="S163"/>
    </row>
    <row r="164" spans="1:19" ht="13.5" customHeight="1">
      <c r="A164" s="223"/>
      <c r="B164" s="302"/>
      <c r="C164" s="78"/>
      <c r="D164" s="83" t="s">
        <v>615</v>
      </c>
      <c r="E164" s="107">
        <f>(1.22+5.38)*1.52</f>
        <v>10.032</v>
      </c>
      <c r="F164" s="137"/>
      <c r="G164" s="369"/>
      <c r="H164" s="81"/>
      <c r="I164" s="218"/>
      <c r="J164" s="283"/>
      <c r="K164" s="104"/>
      <c r="L164" s="3"/>
      <c r="O164" s="3"/>
      <c r="R164" s="8"/>
      <c r="S164"/>
    </row>
    <row r="165" spans="1:19" ht="13.5" customHeight="1">
      <c r="A165" s="223"/>
      <c r="B165" s="302"/>
      <c r="C165" s="78"/>
      <c r="D165" s="83" t="s">
        <v>614</v>
      </c>
      <c r="E165" s="107">
        <f>7.3*2.4-0.75*2.02-0.32*0.62</f>
        <v>15.8066</v>
      </c>
      <c r="F165" s="137"/>
      <c r="G165" s="369"/>
      <c r="H165" s="81"/>
      <c r="I165" s="218"/>
      <c r="J165" s="283"/>
      <c r="K165" s="104"/>
      <c r="L165" s="3"/>
      <c r="O165" s="3"/>
      <c r="R165" s="8"/>
      <c r="S165"/>
    </row>
    <row r="166" spans="1:19" ht="13.5" customHeight="1">
      <c r="A166" s="223"/>
      <c r="B166" s="302"/>
      <c r="C166" s="78"/>
      <c r="D166" s="83" t="s">
        <v>613</v>
      </c>
      <c r="E166" s="107">
        <f>8.64*2.4-0.9*2.02-0.75*2.02-2*0.32*0.62</f>
        <v>17.0062</v>
      </c>
      <c r="F166" s="137"/>
      <c r="G166" s="369"/>
      <c r="H166" s="81"/>
      <c r="I166" s="218"/>
      <c r="J166" s="283"/>
      <c r="K166" s="104"/>
      <c r="L166" s="3"/>
      <c r="O166" s="3"/>
      <c r="R166" s="8"/>
      <c r="S166"/>
    </row>
    <row r="167" spans="1:19" ht="13.5" customHeight="1">
      <c r="A167" s="223">
        <f>A163+1</f>
        <v>24</v>
      </c>
      <c r="B167" s="304" t="s">
        <v>746</v>
      </c>
      <c r="C167" s="78"/>
      <c r="D167" s="79" t="s">
        <v>747</v>
      </c>
      <c r="E167" s="80" t="s">
        <v>776</v>
      </c>
      <c r="F167" s="137">
        <f>SUM(E168:E170)</f>
        <v>16.838649999999998</v>
      </c>
      <c r="G167" s="369"/>
      <c r="H167" s="81">
        <f>F167*G167</f>
        <v>0</v>
      </c>
      <c r="I167" s="218" t="s">
        <v>112</v>
      </c>
      <c r="J167" s="283"/>
      <c r="K167" s="104"/>
      <c r="L167" s="3"/>
      <c r="O167" s="3"/>
      <c r="Q167" s="1">
        <v>0.11867</v>
      </c>
      <c r="R167" s="8">
        <f>F167*Q167</f>
        <v>1.9982425954999996</v>
      </c>
      <c r="S167"/>
    </row>
    <row r="168" spans="1:19" ht="13.5" customHeight="1">
      <c r="A168" s="224"/>
      <c r="B168" s="302"/>
      <c r="C168" s="78"/>
      <c r="D168" s="83" t="s">
        <v>748</v>
      </c>
      <c r="E168" s="107">
        <f>0.62*2.63+4.12*2.635</f>
        <v>12.486799999999999</v>
      </c>
      <c r="F168" s="137"/>
      <c r="G168" s="369"/>
      <c r="H168" s="81"/>
      <c r="I168" s="218"/>
      <c r="J168" s="283"/>
      <c r="K168" s="104"/>
      <c r="L168" s="3"/>
      <c r="O168" s="3"/>
      <c r="R168" s="8"/>
      <c r="S168"/>
    </row>
    <row r="169" spans="1:19" ht="13.5" customHeight="1">
      <c r="A169" s="224"/>
      <c r="B169" s="302"/>
      <c r="C169" s="78"/>
      <c r="D169" s="83" t="s">
        <v>618</v>
      </c>
      <c r="E169" s="107">
        <f>0.77*2.005</f>
        <v>1.54385</v>
      </c>
      <c r="F169" s="137"/>
      <c r="G169" s="369"/>
      <c r="H169" s="81"/>
      <c r="I169" s="218"/>
      <c r="J169" s="283"/>
      <c r="K169" s="104"/>
      <c r="L169" s="3"/>
      <c r="O169" s="3"/>
      <c r="R169" s="8"/>
      <c r="S169"/>
    </row>
    <row r="170" spans="1:19" ht="13.5" customHeight="1">
      <c r="A170" s="224"/>
      <c r="B170" s="302"/>
      <c r="C170" s="78"/>
      <c r="D170" s="83" t="s">
        <v>734</v>
      </c>
      <c r="E170" s="107">
        <f>0.48*2.005+(0.62+0.53)*1.344+0.3</f>
        <v>2.808</v>
      </c>
      <c r="F170" s="137"/>
      <c r="G170" s="369"/>
      <c r="H170" s="81"/>
      <c r="I170" s="218"/>
      <c r="J170" s="283"/>
      <c r="K170" s="104"/>
      <c r="L170" s="3"/>
      <c r="M170" s="1" t="s">
        <v>127</v>
      </c>
      <c r="O170" s="3"/>
      <c r="R170" s="8"/>
      <c r="S170"/>
    </row>
    <row r="171" spans="1:19" ht="12.75">
      <c r="A171" s="223">
        <f>+A167+1</f>
        <v>25</v>
      </c>
      <c r="B171" s="305" t="s">
        <v>835</v>
      </c>
      <c r="C171" s="195"/>
      <c r="D171" s="79" t="s">
        <v>253</v>
      </c>
      <c r="E171" s="84" t="s">
        <v>775</v>
      </c>
      <c r="F171" s="137">
        <v>1</v>
      </c>
      <c r="G171" s="369"/>
      <c r="H171" s="85">
        <f>F171*G171</f>
        <v>0</v>
      </c>
      <c r="I171" s="157" t="s">
        <v>112</v>
      </c>
      <c r="J171" s="278"/>
      <c r="K171" s="104"/>
      <c r="L171" s="3"/>
      <c r="O171" s="3"/>
      <c r="Q171" s="11"/>
      <c r="R171" s="11"/>
      <c r="S171"/>
    </row>
    <row r="172" spans="1:19" ht="12.75">
      <c r="A172" s="224">
        <f>A171+1</f>
        <v>26</v>
      </c>
      <c r="B172" s="305" t="s">
        <v>459</v>
      </c>
      <c r="C172" s="195"/>
      <c r="D172" s="82" t="s">
        <v>460</v>
      </c>
      <c r="E172" s="84" t="s">
        <v>778</v>
      </c>
      <c r="F172" s="137">
        <v>1</v>
      </c>
      <c r="G172" s="369"/>
      <c r="H172" s="85">
        <f>F172*G172</f>
        <v>0</v>
      </c>
      <c r="I172" s="157" t="s">
        <v>112</v>
      </c>
      <c r="J172" s="278"/>
      <c r="K172" s="104"/>
      <c r="L172" s="3"/>
      <c r="O172" s="3"/>
      <c r="Q172" s="11">
        <v>0.004</v>
      </c>
      <c r="R172" s="11">
        <f>+F172*Q172</f>
        <v>0.004</v>
      </c>
      <c r="S172"/>
    </row>
    <row r="173" spans="1:25" ht="12.75">
      <c r="A173" s="224">
        <f>A172+1</f>
        <v>27</v>
      </c>
      <c r="B173" s="305" t="s">
        <v>252</v>
      </c>
      <c r="C173" s="195"/>
      <c r="D173" s="82" t="s">
        <v>251</v>
      </c>
      <c r="E173" s="84" t="s">
        <v>778</v>
      </c>
      <c r="F173" s="137">
        <v>1</v>
      </c>
      <c r="G173" s="369"/>
      <c r="H173" s="85">
        <f>F173*G173</f>
        <v>0</v>
      </c>
      <c r="I173" s="157" t="s">
        <v>112</v>
      </c>
      <c r="J173" s="278"/>
      <c r="K173" s="104"/>
      <c r="L173" s="3"/>
      <c r="O173" s="3"/>
      <c r="Q173" s="11">
        <v>0.00267</v>
      </c>
      <c r="R173" s="11">
        <f>+F173*Q173</f>
        <v>0.00267</v>
      </c>
      <c r="S173"/>
      <c r="T173" s="1"/>
      <c r="U173" s="1"/>
      <c r="W173" s="22"/>
      <c r="X173" s="22"/>
      <c r="Y173" s="22"/>
    </row>
    <row r="174" spans="1:19" ht="25.5">
      <c r="A174" s="224">
        <f>A173+1</f>
        <v>28</v>
      </c>
      <c r="B174" s="306" t="s">
        <v>225</v>
      </c>
      <c r="C174" s="78"/>
      <c r="D174" s="82" t="s">
        <v>93</v>
      </c>
      <c r="E174" s="80" t="s">
        <v>776</v>
      </c>
      <c r="F174" s="137">
        <f>SUM(E175:E176)</f>
        <v>5.364</v>
      </c>
      <c r="G174" s="369"/>
      <c r="H174" s="81">
        <f>F174*G174</f>
        <v>0</v>
      </c>
      <c r="I174" s="218" t="s">
        <v>112</v>
      </c>
      <c r="J174" s="283"/>
      <c r="K174" s="104"/>
      <c r="L174" s="3"/>
      <c r="O174" s="3"/>
      <c r="P174" s="3"/>
      <c r="Q174" s="1">
        <v>0.02</v>
      </c>
      <c r="R174" s="8">
        <f>+F174*Q174</f>
        <v>0.10728</v>
      </c>
      <c r="S174"/>
    </row>
    <row r="175" spans="1:19" ht="12.75">
      <c r="A175" s="224"/>
      <c r="B175" s="306"/>
      <c r="C175" s="78"/>
      <c r="D175" s="83" t="s">
        <v>744</v>
      </c>
      <c r="E175" s="107">
        <f>3.3-0.7*2.08</f>
        <v>1.8439999999999999</v>
      </c>
      <c r="F175" s="137"/>
      <c r="G175" s="369"/>
      <c r="H175" s="81"/>
      <c r="I175" s="218"/>
      <c r="J175" s="283"/>
      <c r="K175" s="104"/>
      <c r="L175" s="3"/>
      <c r="O175" s="3"/>
      <c r="P175" s="3"/>
      <c r="R175" s="8"/>
      <c r="S175"/>
    </row>
    <row r="176" spans="1:19" ht="12.75">
      <c r="A176" s="224"/>
      <c r="B176" s="306"/>
      <c r="C176" s="78"/>
      <c r="D176" s="83" t="s">
        <v>745</v>
      </c>
      <c r="E176" s="107">
        <f>4.16-0.8*0.8</f>
        <v>3.52</v>
      </c>
      <c r="F176" s="137"/>
      <c r="G176" s="369"/>
      <c r="H176" s="81"/>
      <c r="I176" s="218"/>
      <c r="J176" s="283"/>
      <c r="K176" s="104"/>
      <c r="L176" s="3"/>
      <c r="O176" s="3"/>
      <c r="P176" s="3"/>
      <c r="R176" s="8"/>
      <c r="S176"/>
    </row>
    <row r="177" spans="1:19" ht="12.75">
      <c r="A177" s="224">
        <f>A174+1</f>
        <v>29</v>
      </c>
      <c r="B177" s="307" t="s">
        <v>94</v>
      </c>
      <c r="C177" s="78"/>
      <c r="D177" s="82" t="s">
        <v>470</v>
      </c>
      <c r="E177" s="84" t="s">
        <v>532</v>
      </c>
      <c r="F177" s="141">
        <f>SUM(E178:E179)</f>
        <v>0.2238</v>
      </c>
      <c r="G177" s="369"/>
      <c r="H177" s="85">
        <f>F177*G177</f>
        <v>0</v>
      </c>
      <c r="I177" s="157" t="s">
        <v>112</v>
      </c>
      <c r="J177" s="278"/>
      <c r="K177" s="104"/>
      <c r="L177" s="3"/>
      <c r="O177" s="3"/>
      <c r="P177" s="3"/>
      <c r="Q177" s="1">
        <v>2.2</v>
      </c>
      <c r="R177" s="8">
        <f>+F177*Q177</f>
        <v>0.49236</v>
      </c>
      <c r="S177"/>
    </row>
    <row r="178" spans="1:19" ht="12.75">
      <c r="A178" s="224"/>
      <c r="B178" s="307"/>
      <c r="C178" s="78"/>
      <c r="D178" s="83" t="s">
        <v>471</v>
      </c>
      <c r="E178" s="107">
        <f>3.3*0.03</f>
        <v>0.09899999999999999</v>
      </c>
      <c r="F178" s="141"/>
      <c r="G178" s="369"/>
      <c r="H178" s="85"/>
      <c r="J178" s="278"/>
      <c r="K178" s="104"/>
      <c r="L178" s="3"/>
      <c r="O178" s="3"/>
      <c r="P178" s="3"/>
      <c r="R178" s="8"/>
      <c r="S178"/>
    </row>
    <row r="179" spans="1:19" ht="12.75">
      <c r="A179" s="224"/>
      <c r="B179" s="307"/>
      <c r="C179" s="78"/>
      <c r="D179" s="83" t="s">
        <v>472</v>
      </c>
      <c r="E179" s="107">
        <f>4.16*0.03</f>
        <v>0.1248</v>
      </c>
      <c r="F179" s="141"/>
      <c r="G179" s="369"/>
      <c r="H179" s="85"/>
      <c r="J179" s="278"/>
      <c r="K179" s="104"/>
      <c r="L179" s="3"/>
      <c r="O179" s="3"/>
      <c r="P179" s="3"/>
      <c r="R179" s="8"/>
      <c r="S179"/>
    </row>
    <row r="180" spans="1:19" ht="12.75">
      <c r="A180" s="224">
        <f>A177+1</f>
        <v>30</v>
      </c>
      <c r="B180" s="304" t="s">
        <v>837</v>
      </c>
      <c r="C180" s="78"/>
      <c r="D180" s="79" t="s">
        <v>838</v>
      </c>
      <c r="E180" s="80" t="s">
        <v>776</v>
      </c>
      <c r="F180" s="141">
        <f>SUM(E181:E182)</f>
        <v>25.4</v>
      </c>
      <c r="G180" s="369"/>
      <c r="H180" s="81">
        <f>F180*G180</f>
        <v>0</v>
      </c>
      <c r="I180" s="218" t="s">
        <v>112</v>
      </c>
      <c r="J180" s="283"/>
      <c r="K180" s="104"/>
      <c r="L180" s="3"/>
      <c r="O180" s="3"/>
      <c r="P180" s="3"/>
      <c r="Q180" s="3"/>
      <c r="R180" s="8"/>
      <c r="S180"/>
    </row>
    <row r="181" spans="1:19" ht="12.75">
      <c r="A181" s="224"/>
      <c r="B181" s="307"/>
      <c r="C181" s="78"/>
      <c r="D181" s="115" t="s">
        <v>619</v>
      </c>
      <c r="E181" s="107">
        <v>12.2</v>
      </c>
      <c r="F181" s="141"/>
      <c r="G181" s="369"/>
      <c r="H181" s="85"/>
      <c r="J181" s="278"/>
      <c r="K181" s="104"/>
      <c r="L181" s="3"/>
      <c r="O181" s="3"/>
      <c r="P181" s="3"/>
      <c r="R181" s="8"/>
      <c r="S181"/>
    </row>
    <row r="182" spans="1:19" ht="12.75">
      <c r="A182" s="224"/>
      <c r="B182" s="307"/>
      <c r="C182" s="78"/>
      <c r="D182" s="115" t="s">
        <v>620</v>
      </c>
      <c r="E182" s="107">
        <v>13.2</v>
      </c>
      <c r="F182" s="141"/>
      <c r="G182" s="369"/>
      <c r="H182" s="85"/>
      <c r="J182" s="278"/>
      <c r="K182" s="104"/>
      <c r="L182" s="3"/>
      <c r="O182" s="3"/>
      <c r="P182" s="3"/>
      <c r="R182" s="8"/>
      <c r="S182"/>
    </row>
    <row r="183" spans="1:19" ht="12.75">
      <c r="A183" s="224">
        <f>A180+1</f>
        <v>31</v>
      </c>
      <c r="B183" s="304" t="s">
        <v>836</v>
      </c>
      <c r="C183" s="78"/>
      <c r="D183" s="79" t="s">
        <v>476</v>
      </c>
      <c r="E183" s="80" t="s">
        <v>776</v>
      </c>
      <c r="F183" s="137">
        <f>SUM(E184:E184)</f>
        <v>13.2</v>
      </c>
      <c r="G183" s="369"/>
      <c r="H183" s="81">
        <f>F183*G183</f>
        <v>0</v>
      </c>
      <c r="I183" s="218" t="s">
        <v>112</v>
      </c>
      <c r="J183" s="283"/>
      <c r="K183" s="104"/>
      <c r="L183" s="3"/>
      <c r="O183" s="3"/>
      <c r="P183" s="3"/>
      <c r="Q183" s="3">
        <v>0.035</v>
      </c>
      <c r="R183" s="8">
        <f>+F183*Q183</f>
        <v>0.462</v>
      </c>
      <c r="S183" t="s">
        <v>550</v>
      </c>
    </row>
    <row r="184" spans="1:19" ht="12.75">
      <c r="A184" s="224"/>
      <c r="B184" s="302"/>
      <c r="C184" s="78"/>
      <c r="D184" s="115" t="s">
        <v>620</v>
      </c>
      <c r="E184" s="107">
        <v>13.2</v>
      </c>
      <c r="F184" s="137"/>
      <c r="G184" s="369"/>
      <c r="H184" s="81"/>
      <c r="I184" s="218"/>
      <c r="J184" s="283"/>
      <c r="K184" s="104"/>
      <c r="L184" s="3"/>
      <c r="O184" s="3"/>
      <c r="P184" s="3"/>
      <c r="Q184" s="3"/>
      <c r="R184" s="8"/>
      <c r="S184"/>
    </row>
    <row r="185" spans="1:19" ht="12.75">
      <c r="A185" s="224">
        <f>A183+1</f>
        <v>32</v>
      </c>
      <c r="B185" s="302" t="s">
        <v>484</v>
      </c>
      <c r="C185" s="78"/>
      <c r="D185" s="79" t="s">
        <v>485</v>
      </c>
      <c r="E185" s="80" t="s">
        <v>779</v>
      </c>
      <c r="F185" s="137">
        <f>SUM(E186:E188)</f>
        <v>45.050000000000004</v>
      </c>
      <c r="G185" s="369"/>
      <c r="H185" s="81">
        <f>F185*G185</f>
        <v>0</v>
      </c>
      <c r="I185" s="218" t="s">
        <v>112</v>
      </c>
      <c r="J185" s="283"/>
      <c r="K185" s="104"/>
      <c r="L185" s="3"/>
      <c r="O185" s="3"/>
      <c r="P185" s="3"/>
      <c r="Q185" s="3">
        <v>0.001</v>
      </c>
      <c r="R185" s="8">
        <f>+F185*Q185</f>
        <v>0.04505000000000001</v>
      </c>
      <c r="S185" t="s">
        <v>550</v>
      </c>
    </row>
    <row r="186" spans="1:19" ht="12.75">
      <c r="A186" s="224"/>
      <c r="B186" s="302"/>
      <c r="C186" s="78"/>
      <c r="D186" s="115" t="s">
        <v>621</v>
      </c>
      <c r="E186" s="107">
        <f>19.8-5*0.9-3.34</f>
        <v>11.96</v>
      </c>
      <c r="F186" s="137"/>
      <c r="G186" s="369"/>
      <c r="H186" s="81"/>
      <c r="I186" s="218"/>
      <c r="J186" s="283"/>
      <c r="K186" s="104"/>
      <c r="L186" s="3"/>
      <c r="O186" s="3"/>
      <c r="P186" s="3"/>
      <c r="Q186" s="3"/>
      <c r="R186" s="8"/>
      <c r="S186"/>
    </row>
    <row r="187" spans="1:19" ht="12.75">
      <c r="A187" s="224"/>
      <c r="B187" s="302"/>
      <c r="C187" s="78"/>
      <c r="D187" s="115" t="s">
        <v>622</v>
      </c>
      <c r="E187" s="107">
        <f>17.1-1.31-0.9</f>
        <v>14.89</v>
      </c>
      <c r="F187" s="137"/>
      <c r="G187" s="369"/>
      <c r="H187" s="81"/>
      <c r="I187" s="218"/>
      <c r="J187" s="283"/>
      <c r="K187" s="104"/>
      <c r="L187" s="3"/>
      <c r="O187" s="3"/>
      <c r="P187" s="3"/>
      <c r="Q187" s="3"/>
      <c r="R187" s="8"/>
      <c r="S187"/>
    </row>
    <row r="188" spans="1:19" ht="12.75">
      <c r="A188" s="224"/>
      <c r="B188" s="302"/>
      <c r="C188" s="78"/>
      <c r="D188" s="115" t="s">
        <v>623</v>
      </c>
      <c r="E188" s="107">
        <f>19.1-0.9</f>
        <v>18.200000000000003</v>
      </c>
      <c r="F188" s="137"/>
      <c r="G188" s="369"/>
      <c r="H188" s="81"/>
      <c r="I188" s="218"/>
      <c r="J188" s="283"/>
      <c r="K188" s="104"/>
      <c r="L188" s="3"/>
      <c r="O188" s="3"/>
      <c r="P188" s="3"/>
      <c r="Q188" s="3"/>
      <c r="R188" s="8"/>
      <c r="S188"/>
    </row>
    <row r="189" spans="1:19" ht="12.75">
      <c r="A189" s="224">
        <f>A185+1</f>
        <v>33</v>
      </c>
      <c r="B189" s="302" t="s">
        <v>338</v>
      </c>
      <c r="C189" s="78"/>
      <c r="D189" s="79" t="s">
        <v>461</v>
      </c>
      <c r="E189" s="80" t="s">
        <v>776</v>
      </c>
      <c r="F189" s="137">
        <f>+E190</f>
        <v>9.6</v>
      </c>
      <c r="G189" s="369"/>
      <c r="H189" s="81">
        <f>F189*G189</f>
        <v>0</v>
      </c>
      <c r="I189" s="218" t="s">
        <v>112</v>
      </c>
      <c r="J189" s="283"/>
      <c r="K189" s="104"/>
      <c r="L189" s="3"/>
      <c r="O189" s="3"/>
      <c r="P189" s="3"/>
      <c r="Q189" s="3">
        <v>0.02</v>
      </c>
      <c r="R189" s="8">
        <f>+F189*Q189</f>
        <v>0.192</v>
      </c>
      <c r="S189" t="s">
        <v>550</v>
      </c>
    </row>
    <row r="190" spans="1:19" ht="12.75">
      <c r="A190" s="224"/>
      <c r="B190" s="302"/>
      <c r="C190" s="78"/>
      <c r="D190" s="115" t="s">
        <v>475</v>
      </c>
      <c r="E190" s="107">
        <v>9.6</v>
      </c>
      <c r="F190" s="137"/>
      <c r="G190" s="369"/>
      <c r="H190" s="81"/>
      <c r="I190" s="218"/>
      <c r="J190" s="283"/>
      <c r="K190" s="104"/>
      <c r="L190" s="3"/>
      <c r="O190" s="3"/>
      <c r="P190" s="3"/>
      <c r="Q190" s="3"/>
      <c r="R190" s="8"/>
      <c r="S190"/>
    </row>
    <row r="191" spans="1:18" ht="25.5">
      <c r="A191" s="224">
        <f>A189+1</f>
        <v>34</v>
      </c>
      <c r="B191" s="307" t="s">
        <v>539</v>
      </c>
      <c r="C191" s="225"/>
      <c r="D191" s="82" t="s">
        <v>787</v>
      </c>
      <c r="E191" s="84" t="s">
        <v>776</v>
      </c>
      <c r="F191" s="137">
        <f>SUM(E192:E193)</f>
        <v>7.46</v>
      </c>
      <c r="G191" s="369"/>
      <c r="H191" s="85">
        <f>F191*G191</f>
        <v>0</v>
      </c>
      <c r="I191" s="157" t="s">
        <v>112</v>
      </c>
      <c r="N191" s="3"/>
      <c r="O191" s="3"/>
      <c r="P191" s="3"/>
      <c r="Q191" s="11">
        <v>0.167</v>
      </c>
      <c r="R191" s="8">
        <f>+F191*Q191</f>
        <v>1.2458200000000001</v>
      </c>
    </row>
    <row r="192" spans="1:18" ht="12.75">
      <c r="A192" s="224"/>
      <c r="B192" s="307"/>
      <c r="C192" s="225"/>
      <c r="D192" s="83" t="s">
        <v>473</v>
      </c>
      <c r="E192" s="107">
        <v>3.3</v>
      </c>
      <c r="F192" s="137"/>
      <c r="G192" s="369"/>
      <c r="H192" s="85"/>
      <c r="N192" s="3"/>
      <c r="O192" s="3"/>
      <c r="P192" s="3"/>
      <c r="Q192" s="11"/>
      <c r="R192" s="8"/>
    </row>
    <row r="193" spans="1:18" ht="12.75">
      <c r="A193" s="224"/>
      <c r="B193" s="307"/>
      <c r="C193" s="225"/>
      <c r="D193" s="83" t="s">
        <v>474</v>
      </c>
      <c r="E193" s="107">
        <v>4.16</v>
      </c>
      <c r="F193" s="137"/>
      <c r="G193" s="369"/>
      <c r="H193" s="85"/>
      <c r="N193" s="3"/>
      <c r="O193" s="3"/>
      <c r="P193" s="3"/>
      <c r="Q193" s="11"/>
      <c r="R193" s="8"/>
    </row>
    <row r="194" spans="1:18" ht="25.5">
      <c r="A194" s="224">
        <f>A191+1</f>
        <v>35</v>
      </c>
      <c r="B194" s="307" t="s">
        <v>376</v>
      </c>
      <c r="C194" s="225"/>
      <c r="D194" s="82" t="s">
        <v>486</v>
      </c>
      <c r="E194" s="84" t="s">
        <v>776</v>
      </c>
      <c r="F194" s="137">
        <f>SUM(E195:E195)</f>
        <v>13.2</v>
      </c>
      <c r="G194" s="369"/>
      <c r="H194" s="85">
        <f>F194*G194</f>
        <v>0</v>
      </c>
      <c r="I194" s="157" t="s">
        <v>112</v>
      </c>
      <c r="N194" s="3"/>
      <c r="O194" s="3"/>
      <c r="P194" s="3"/>
      <c r="Q194" s="11">
        <v>0.167</v>
      </c>
      <c r="R194" s="8">
        <f>+F194*Q194</f>
        <v>2.2044</v>
      </c>
    </row>
    <row r="195" spans="1:18" ht="12.75">
      <c r="A195" s="224"/>
      <c r="B195" s="307"/>
      <c r="C195" s="225"/>
      <c r="D195" s="83" t="s">
        <v>477</v>
      </c>
      <c r="E195" s="107">
        <v>13.2</v>
      </c>
      <c r="F195" s="137"/>
      <c r="G195" s="369"/>
      <c r="H195" s="85"/>
      <c r="N195" s="3"/>
      <c r="O195" s="3"/>
      <c r="P195" s="3"/>
      <c r="Q195" s="11"/>
      <c r="R195" s="8"/>
    </row>
    <row r="196" spans="1:18" ht="12.75">
      <c r="A196" s="224">
        <f>A194+1</f>
        <v>36</v>
      </c>
      <c r="B196" s="302" t="s">
        <v>150</v>
      </c>
      <c r="C196" s="78"/>
      <c r="D196" s="79" t="s">
        <v>151</v>
      </c>
      <c r="E196" s="80" t="s">
        <v>778</v>
      </c>
      <c r="F196" s="137">
        <v>2</v>
      </c>
      <c r="G196" s="369"/>
      <c r="H196" s="81">
        <f>F196*G196</f>
        <v>0</v>
      </c>
      <c r="I196" s="218" t="s">
        <v>112</v>
      </c>
      <c r="J196" s="283"/>
      <c r="K196" s="104"/>
      <c r="L196" s="3"/>
      <c r="O196" s="3"/>
      <c r="R196" s="8"/>
    </row>
    <row r="197" spans="1:18" ht="25.5">
      <c r="A197" s="224">
        <f>A196+1</f>
        <v>37</v>
      </c>
      <c r="B197" s="302" t="s">
        <v>302</v>
      </c>
      <c r="C197" s="78"/>
      <c r="D197" s="79" t="s">
        <v>749</v>
      </c>
      <c r="E197" s="80" t="s">
        <v>776</v>
      </c>
      <c r="F197" s="137">
        <f>(1.31*2.38+1.34*1.49*2+2.09*1.42+3*0.32*0.62+1.94*2.8+4*0.9*2.02)*1.2</f>
        <v>28.0536</v>
      </c>
      <c r="G197" s="369"/>
      <c r="H197" s="81">
        <f aca="true" t="shared" si="6" ref="H197:H203">F197*G197</f>
        <v>0</v>
      </c>
      <c r="I197" s="218" t="s">
        <v>112</v>
      </c>
      <c r="J197" s="283"/>
      <c r="K197" s="104"/>
      <c r="L197" s="3"/>
      <c r="O197" s="3"/>
      <c r="R197" s="8"/>
    </row>
    <row r="198" spans="1:19" ht="12.75">
      <c r="A198" s="224">
        <f aca="true" t="shared" si="7" ref="A198:A204">A197+1</f>
        <v>38</v>
      </c>
      <c r="B198" s="302" t="s">
        <v>180</v>
      </c>
      <c r="C198" s="78"/>
      <c r="D198" s="79" t="s">
        <v>341</v>
      </c>
      <c r="E198" s="80" t="s">
        <v>780</v>
      </c>
      <c r="F198" s="137">
        <f>+R198</f>
        <v>10.814332435499999</v>
      </c>
      <c r="G198" s="369"/>
      <c r="H198" s="81">
        <f t="shared" si="6"/>
        <v>0</v>
      </c>
      <c r="I198" s="218" t="s">
        <v>112</v>
      </c>
      <c r="J198" s="283"/>
      <c r="K198" s="104"/>
      <c r="L198" s="3"/>
      <c r="O198" s="3"/>
      <c r="R198" s="9">
        <f>SUM(R148:R197)</f>
        <v>10.814332435499999</v>
      </c>
      <c r="S198" s="2">
        <f>SUMIF(S$148:S$190,"d",R$148:R$190)</f>
        <v>1.15995</v>
      </c>
    </row>
    <row r="199" spans="1:19" ht="12.75">
      <c r="A199" s="224">
        <f t="shared" si="7"/>
        <v>39</v>
      </c>
      <c r="B199" s="302" t="s">
        <v>540</v>
      </c>
      <c r="C199" s="78"/>
      <c r="D199" s="79" t="s">
        <v>205</v>
      </c>
      <c r="E199" s="80" t="s">
        <v>780</v>
      </c>
      <c r="F199" s="137">
        <f>+F198</f>
        <v>10.814332435499999</v>
      </c>
      <c r="G199" s="367"/>
      <c r="H199" s="81">
        <f t="shared" si="6"/>
        <v>0</v>
      </c>
      <c r="I199" s="218" t="s">
        <v>112</v>
      </c>
      <c r="J199" s="283"/>
      <c r="K199" s="104"/>
      <c r="L199" s="3"/>
      <c r="O199" s="3"/>
      <c r="R199" s="9"/>
      <c r="S199" s="2"/>
    </row>
    <row r="200" spans="1:19" ht="13.5" customHeight="1">
      <c r="A200" s="224">
        <f t="shared" si="7"/>
        <v>40</v>
      </c>
      <c r="B200" s="302" t="s">
        <v>541</v>
      </c>
      <c r="C200" s="78"/>
      <c r="D200" s="79" t="s">
        <v>181</v>
      </c>
      <c r="E200" s="80" t="s">
        <v>780</v>
      </c>
      <c r="F200" s="137">
        <f>F198</f>
        <v>10.814332435499999</v>
      </c>
      <c r="G200" s="367"/>
      <c r="H200" s="81">
        <f t="shared" si="6"/>
        <v>0</v>
      </c>
      <c r="I200" s="218" t="s">
        <v>112</v>
      </c>
      <c r="J200" s="283"/>
      <c r="K200" s="104"/>
      <c r="L200" s="3"/>
      <c r="O200" s="3"/>
      <c r="R200" s="9"/>
      <c r="S200" s="2"/>
    </row>
    <row r="201" spans="1:19" ht="12.75">
      <c r="A201" s="224">
        <f t="shared" si="7"/>
        <v>41</v>
      </c>
      <c r="B201" s="302" t="s">
        <v>543</v>
      </c>
      <c r="C201" s="78"/>
      <c r="D201" s="79" t="s">
        <v>544</v>
      </c>
      <c r="E201" s="80" t="s">
        <v>780</v>
      </c>
      <c r="F201" s="137">
        <f>F198</f>
        <v>10.814332435499999</v>
      </c>
      <c r="G201" s="369"/>
      <c r="H201" s="81">
        <f t="shared" si="6"/>
        <v>0</v>
      </c>
      <c r="I201" s="218" t="s">
        <v>112</v>
      </c>
      <c r="J201" s="283"/>
      <c r="K201" s="104"/>
      <c r="L201" s="3"/>
      <c r="O201" s="3"/>
      <c r="R201" s="9"/>
      <c r="S201" s="2"/>
    </row>
    <row r="202" spans="1:19" ht="12.75">
      <c r="A202" s="223">
        <f t="shared" si="7"/>
        <v>42</v>
      </c>
      <c r="B202" s="302" t="s">
        <v>182</v>
      </c>
      <c r="C202" s="78"/>
      <c r="D202" s="79" t="s">
        <v>547</v>
      </c>
      <c r="E202" s="80" t="s">
        <v>780</v>
      </c>
      <c r="F202" s="137">
        <f>R198-S198</f>
        <v>9.654382435499999</v>
      </c>
      <c r="G202" s="369"/>
      <c r="H202" s="81">
        <f t="shared" si="6"/>
        <v>0</v>
      </c>
      <c r="I202" s="218" t="s">
        <v>112</v>
      </c>
      <c r="J202" s="283"/>
      <c r="K202" s="104"/>
      <c r="L202" s="3"/>
      <c r="O202" s="3"/>
      <c r="R202" s="9"/>
      <c r="S202" s="2"/>
    </row>
    <row r="203" spans="1:19" ht="12.75">
      <c r="A203" s="223">
        <f t="shared" si="7"/>
        <v>43</v>
      </c>
      <c r="B203" s="302" t="s">
        <v>549</v>
      </c>
      <c r="C203" s="78"/>
      <c r="D203" s="79" t="s">
        <v>548</v>
      </c>
      <c r="E203" s="80" t="s">
        <v>780</v>
      </c>
      <c r="F203" s="137">
        <f>S198</f>
        <v>1.15995</v>
      </c>
      <c r="G203" s="369"/>
      <c r="H203" s="81">
        <f t="shared" si="6"/>
        <v>0</v>
      </c>
      <c r="I203" s="218" t="s">
        <v>112</v>
      </c>
      <c r="J203" s="283"/>
      <c r="K203" s="104"/>
      <c r="L203" s="3"/>
      <c r="O203" s="3"/>
      <c r="R203" s="9"/>
      <c r="S203" s="2"/>
    </row>
    <row r="204" spans="1:19" ht="13.5" thickBot="1">
      <c r="A204" s="223">
        <f t="shared" si="7"/>
        <v>44</v>
      </c>
      <c r="B204" s="302" t="s">
        <v>545</v>
      </c>
      <c r="C204" s="78"/>
      <c r="D204" s="79" t="s">
        <v>546</v>
      </c>
      <c r="E204" s="80" t="s">
        <v>780</v>
      </c>
      <c r="F204" s="137">
        <f>F201</f>
        <v>10.814332435499999</v>
      </c>
      <c r="G204" s="369"/>
      <c r="H204" s="81">
        <f>F204*G204</f>
        <v>0</v>
      </c>
      <c r="I204" s="218" t="s">
        <v>112</v>
      </c>
      <c r="J204" s="283"/>
      <c r="K204" s="104"/>
      <c r="L204" s="3"/>
      <c r="O204" s="3"/>
      <c r="R204" s="9"/>
      <c r="S204" s="2"/>
    </row>
    <row r="205" spans="1:9" ht="13.5" thickBot="1">
      <c r="A205" s="172"/>
      <c r="B205" s="308"/>
      <c r="C205" s="78"/>
      <c r="D205" s="86" t="s">
        <v>777</v>
      </c>
      <c r="E205" s="87"/>
      <c r="F205" s="139"/>
      <c r="G205" s="370"/>
      <c r="H205" s="88">
        <f>SUBTOTAL(9,H148:H204)</f>
        <v>0</v>
      </c>
      <c r="I205" s="218"/>
    </row>
    <row r="206" spans="1:9" ht="12.75">
      <c r="A206" s="172"/>
      <c r="B206" s="308"/>
      <c r="C206" s="78"/>
      <c r="D206" s="89"/>
      <c r="E206" s="90"/>
      <c r="F206" s="128"/>
      <c r="G206" s="371"/>
      <c r="H206" s="91"/>
      <c r="I206" s="218"/>
    </row>
    <row r="207" spans="1:9" ht="16.5">
      <c r="A207" s="172"/>
      <c r="B207" s="308"/>
      <c r="C207" s="76" t="s">
        <v>790</v>
      </c>
      <c r="D207" s="77" t="s">
        <v>107</v>
      </c>
      <c r="E207" s="77"/>
      <c r="F207" s="140"/>
      <c r="G207" s="372"/>
      <c r="H207" s="77"/>
      <c r="I207" s="218"/>
    </row>
    <row r="208" spans="1:9" ht="16.5">
      <c r="A208" s="172"/>
      <c r="B208" s="308"/>
      <c r="C208" s="92" t="s">
        <v>807</v>
      </c>
      <c r="D208" s="77" t="s">
        <v>433</v>
      </c>
      <c r="E208" s="77"/>
      <c r="F208" s="140"/>
      <c r="G208" s="372"/>
      <c r="H208" s="77"/>
      <c r="I208" s="218"/>
    </row>
    <row r="209" spans="1:11" ht="38.25">
      <c r="A209" s="223">
        <f>+A204+1</f>
        <v>45</v>
      </c>
      <c r="B209" s="302" t="s">
        <v>487</v>
      </c>
      <c r="C209" s="78"/>
      <c r="D209" s="82" t="s">
        <v>488</v>
      </c>
      <c r="E209" s="84" t="s">
        <v>776</v>
      </c>
      <c r="F209" s="141">
        <f>SUM(E210:E211)</f>
        <v>5.496</v>
      </c>
      <c r="G209" s="369"/>
      <c r="H209" s="85">
        <f>F209*G209</f>
        <v>0</v>
      </c>
      <c r="I209" s="218" t="s">
        <v>115</v>
      </c>
      <c r="J209" s="283"/>
      <c r="K209" s="106"/>
    </row>
    <row r="210" spans="1:11" ht="12.75">
      <c r="A210" s="223"/>
      <c r="B210" s="302"/>
      <c r="C210" s="78"/>
      <c r="D210" s="115" t="s">
        <v>642</v>
      </c>
      <c r="E210" s="107">
        <f>(1.57+1.13)*1.2</f>
        <v>3.24</v>
      </c>
      <c r="F210" s="141"/>
      <c r="G210" s="369"/>
      <c r="H210" s="85"/>
      <c r="I210" s="218"/>
      <c r="J210" s="283"/>
      <c r="K210" s="106"/>
    </row>
    <row r="211" spans="1:11" ht="12.75">
      <c r="A211" s="223"/>
      <c r="B211" s="302"/>
      <c r="C211" s="78"/>
      <c r="D211" s="115" t="s">
        <v>750</v>
      </c>
      <c r="E211" s="107">
        <f>1.88*1.2</f>
        <v>2.256</v>
      </c>
      <c r="F211" s="141"/>
      <c r="G211" s="369"/>
      <c r="H211" s="85"/>
      <c r="I211" s="218"/>
      <c r="J211" s="283"/>
      <c r="K211" s="106"/>
    </row>
    <row r="212" spans="1:11" ht="44.25" customHeight="1">
      <c r="A212" s="223">
        <f>A209+1</f>
        <v>46</v>
      </c>
      <c r="B212" s="302" t="s">
        <v>9</v>
      </c>
      <c r="C212" s="78"/>
      <c r="D212" s="82" t="s">
        <v>624</v>
      </c>
      <c r="E212" s="84" t="s">
        <v>776</v>
      </c>
      <c r="F212" s="141">
        <f>SUM(E213:E213)</f>
        <v>2.8289999999999997</v>
      </c>
      <c r="G212" s="369"/>
      <c r="H212" s="85">
        <f>F212*G212</f>
        <v>0</v>
      </c>
      <c r="I212" s="218" t="s">
        <v>115</v>
      </c>
      <c r="J212" s="283"/>
      <c r="K212" s="106"/>
    </row>
    <row r="213" spans="1:19" ht="12.75">
      <c r="A213" s="223"/>
      <c r="B213" s="302"/>
      <c r="C213" s="78"/>
      <c r="D213" s="115" t="s">
        <v>148</v>
      </c>
      <c r="E213" s="107">
        <f>0.8*2.05+0.58*2.05</f>
        <v>2.8289999999999997</v>
      </c>
      <c r="F213" s="137"/>
      <c r="G213" s="369"/>
      <c r="H213" s="81"/>
      <c r="I213" s="218"/>
      <c r="J213" s="283"/>
      <c r="K213" s="104"/>
      <c r="L213" s="3"/>
      <c r="O213" s="3"/>
      <c r="P213" s="3"/>
      <c r="Q213" s="3"/>
      <c r="R213" s="11"/>
      <c r="S213"/>
    </row>
    <row r="214" spans="1:11" ht="44.25" customHeight="1">
      <c r="A214" s="223">
        <f>A212+1</f>
        <v>47</v>
      </c>
      <c r="B214" s="302" t="s">
        <v>839</v>
      </c>
      <c r="C214" s="78" t="s">
        <v>741</v>
      </c>
      <c r="D214" s="82" t="s">
        <v>841</v>
      </c>
      <c r="E214" s="84" t="s">
        <v>776</v>
      </c>
      <c r="F214" s="141">
        <f>4.12*2.635</f>
        <v>10.8562</v>
      </c>
      <c r="G214" s="369"/>
      <c r="H214" s="85">
        <f aca="true" t="shared" si="8" ref="H214:H219">F214*G214</f>
        <v>0</v>
      </c>
      <c r="I214" s="218" t="s">
        <v>115</v>
      </c>
      <c r="J214" s="283"/>
      <c r="K214" s="106"/>
    </row>
    <row r="215" spans="1:19" ht="38.25">
      <c r="A215" s="223">
        <f>A214+1</f>
        <v>48</v>
      </c>
      <c r="B215" s="310" t="s">
        <v>840</v>
      </c>
      <c r="C215" s="153"/>
      <c r="D215" s="152" t="s">
        <v>888</v>
      </c>
      <c r="E215" s="149" t="s">
        <v>778</v>
      </c>
      <c r="F215" s="146">
        <v>1</v>
      </c>
      <c r="G215" s="373"/>
      <c r="H215" s="150">
        <f t="shared" si="8"/>
        <v>0</v>
      </c>
      <c r="I215" s="226" t="s">
        <v>115</v>
      </c>
      <c r="J215" s="283"/>
      <c r="K215" s="104"/>
      <c r="L215" s="3"/>
      <c r="O215" s="3"/>
      <c r="P215" s="3"/>
      <c r="Q215" s="3"/>
      <c r="R215" s="11"/>
      <c r="S215"/>
    </row>
    <row r="216" spans="1:19" ht="63.75">
      <c r="A216" s="223">
        <f>A215+1</f>
        <v>49</v>
      </c>
      <c r="B216" s="303" t="s">
        <v>245</v>
      </c>
      <c r="C216" s="355" t="s">
        <v>244</v>
      </c>
      <c r="D216" s="82" t="s">
        <v>842</v>
      </c>
      <c r="E216" s="84" t="s">
        <v>776</v>
      </c>
      <c r="F216" s="141">
        <f>4.78*2.6</f>
        <v>12.428</v>
      </c>
      <c r="G216" s="369"/>
      <c r="H216" s="85">
        <f t="shared" si="8"/>
        <v>0</v>
      </c>
      <c r="I216" s="157" t="s">
        <v>115</v>
      </c>
      <c r="J216" s="283"/>
      <c r="K216" s="104"/>
      <c r="L216" s="3"/>
      <c r="O216" s="3"/>
      <c r="P216" s="3"/>
      <c r="Q216" s="3"/>
      <c r="R216" s="11"/>
      <c r="S216"/>
    </row>
    <row r="217" spans="1:10" ht="25.5">
      <c r="A217" s="223">
        <f>A216+1</f>
        <v>50</v>
      </c>
      <c r="B217" s="303" t="s">
        <v>843</v>
      </c>
      <c r="C217" s="355"/>
      <c r="D217" s="82" t="s">
        <v>844</v>
      </c>
      <c r="E217" s="84" t="s">
        <v>779</v>
      </c>
      <c r="F217" s="146">
        <f>4.12+4.78</f>
        <v>8.9</v>
      </c>
      <c r="G217" s="373"/>
      <c r="H217" s="85">
        <f t="shared" si="8"/>
        <v>0</v>
      </c>
      <c r="I217" s="157" t="s">
        <v>115</v>
      </c>
      <c r="J217" s="279"/>
    </row>
    <row r="218" spans="1:18" s="262" customFormat="1" ht="12.75">
      <c r="A218" s="223">
        <f>A217+1</f>
        <v>51</v>
      </c>
      <c r="B218" s="303" t="s">
        <v>751</v>
      </c>
      <c r="C218" s="260"/>
      <c r="D218" s="152" t="s">
        <v>752</v>
      </c>
      <c r="E218" s="261" t="s">
        <v>775</v>
      </c>
      <c r="F218" s="138">
        <v>1</v>
      </c>
      <c r="G218" s="373"/>
      <c r="H218" s="150">
        <f t="shared" si="8"/>
        <v>0</v>
      </c>
      <c r="I218" s="363" t="s">
        <v>112</v>
      </c>
      <c r="J218" s="284"/>
      <c r="O218" s="263"/>
      <c r="R218" s="264"/>
    </row>
    <row r="219" spans="1:11" ht="25.5">
      <c r="A219" s="223">
        <f>A218+1</f>
        <v>52</v>
      </c>
      <c r="B219" s="302" t="s">
        <v>294</v>
      </c>
      <c r="C219" s="78"/>
      <c r="D219" s="82" t="s">
        <v>255</v>
      </c>
      <c r="E219" s="80" t="s">
        <v>532</v>
      </c>
      <c r="F219" s="137">
        <f>SUM(E220:E220)</f>
        <v>0.7855649999999998</v>
      </c>
      <c r="G219" s="369"/>
      <c r="H219" s="85">
        <f t="shared" si="8"/>
        <v>0</v>
      </c>
      <c r="I219" s="218" t="s">
        <v>112</v>
      </c>
      <c r="J219" s="283"/>
      <c r="K219" s="106"/>
    </row>
    <row r="220" spans="1:11" ht="12.75">
      <c r="A220" s="223"/>
      <c r="B220" s="302"/>
      <c r="C220" s="78"/>
      <c r="D220" s="83" t="s">
        <v>254</v>
      </c>
      <c r="E220" s="107">
        <f>1.035*2.53*0.3</f>
        <v>0.7855649999999998</v>
      </c>
      <c r="F220" s="137"/>
      <c r="G220" s="369"/>
      <c r="H220" s="85"/>
      <c r="I220" s="218"/>
      <c r="J220" s="283"/>
      <c r="K220" s="106"/>
    </row>
    <row r="221" spans="1:22" ht="12.75">
      <c r="A221" s="224">
        <f>+A219+1</f>
        <v>53</v>
      </c>
      <c r="B221" s="303" t="s">
        <v>337</v>
      </c>
      <c r="C221" s="195"/>
      <c r="D221" s="82" t="s">
        <v>641</v>
      </c>
      <c r="E221" s="84" t="s">
        <v>776</v>
      </c>
      <c r="F221" s="141">
        <f>0.95*1.2</f>
        <v>1.14</v>
      </c>
      <c r="G221" s="369"/>
      <c r="H221" s="85">
        <f aca="true" t="shared" si="9" ref="H221:H227">F221*G221</f>
        <v>0</v>
      </c>
      <c r="I221" s="160" t="s">
        <v>112</v>
      </c>
      <c r="J221" s="285"/>
      <c r="K221" s="238"/>
      <c r="L221" s="239"/>
      <c r="T221" s="65"/>
      <c r="U221" s="65"/>
      <c r="V221" s="65"/>
    </row>
    <row r="222" spans="1:12" ht="38.25">
      <c r="A222" s="223">
        <f aca="true" t="shared" si="10" ref="A222:A227">A221+1</f>
        <v>54</v>
      </c>
      <c r="B222" s="303" t="s">
        <v>551</v>
      </c>
      <c r="C222" s="78"/>
      <c r="D222" s="82" t="s">
        <v>742</v>
      </c>
      <c r="E222" s="80" t="s">
        <v>776</v>
      </c>
      <c r="F222" s="141">
        <f>0.6*(1.6*2+0.7+0.85)</f>
        <v>2.85</v>
      </c>
      <c r="G222" s="369"/>
      <c r="H222" s="85">
        <f t="shared" si="9"/>
        <v>0</v>
      </c>
      <c r="I222" s="160" t="s">
        <v>112</v>
      </c>
      <c r="J222" s="285"/>
      <c r="K222" s="106"/>
      <c r="L222" s="5"/>
    </row>
    <row r="223" spans="1:12" ht="12.75">
      <c r="A223" s="223">
        <f t="shared" si="10"/>
        <v>55</v>
      </c>
      <c r="B223" s="303" t="s">
        <v>216</v>
      </c>
      <c r="C223" s="78" t="s">
        <v>643</v>
      </c>
      <c r="D223" s="79" t="s">
        <v>238</v>
      </c>
      <c r="E223" s="80" t="s">
        <v>778</v>
      </c>
      <c r="F223" s="137">
        <f>SUM(F224:F226)</f>
        <v>3</v>
      </c>
      <c r="G223" s="369"/>
      <c r="H223" s="81">
        <f t="shared" si="9"/>
        <v>0</v>
      </c>
      <c r="I223" s="218" t="s">
        <v>115</v>
      </c>
      <c r="J223" s="283"/>
      <c r="K223" s="104"/>
      <c r="L223" s="3"/>
    </row>
    <row r="224" spans="1:22" ht="38.25">
      <c r="A224" s="223">
        <f t="shared" si="10"/>
        <v>56</v>
      </c>
      <c r="B224" s="303" t="s">
        <v>296</v>
      </c>
      <c r="C224" s="236" t="s">
        <v>100</v>
      </c>
      <c r="D224" s="196" t="s">
        <v>845</v>
      </c>
      <c r="E224" s="197" t="s">
        <v>778</v>
      </c>
      <c r="F224" s="198">
        <v>1</v>
      </c>
      <c r="G224" s="374"/>
      <c r="H224" s="199">
        <f t="shared" si="9"/>
        <v>0</v>
      </c>
      <c r="I224" s="157" t="s">
        <v>115</v>
      </c>
      <c r="J224" s="278"/>
      <c r="K224" s="104"/>
      <c r="L224" s="114" t="s">
        <v>101</v>
      </c>
      <c r="P224" s="1"/>
      <c r="T224" s="65"/>
      <c r="U224" s="65"/>
      <c r="V224" s="65"/>
    </row>
    <row r="225" spans="1:22" ht="38.25">
      <c r="A225" s="223">
        <f t="shared" si="10"/>
        <v>57</v>
      </c>
      <c r="B225" s="303" t="s">
        <v>296</v>
      </c>
      <c r="C225" s="236" t="s">
        <v>102</v>
      </c>
      <c r="D225" s="196" t="s">
        <v>846</v>
      </c>
      <c r="E225" s="197" t="s">
        <v>778</v>
      </c>
      <c r="F225" s="198">
        <v>1</v>
      </c>
      <c r="G225" s="374"/>
      <c r="H225" s="199">
        <f>F225*G225</f>
        <v>0</v>
      </c>
      <c r="I225" s="157" t="s">
        <v>115</v>
      </c>
      <c r="J225" s="278"/>
      <c r="K225" s="104"/>
      <c r="L225" s="114" t="s">
        <v>847</v>
      </c>
      <c r="P225" s="1"/>
      <c r="T225" s="65"/>
      <c r="U225" s="65"/>
      <c r="V225" s="65"/>
    </row>
    <row r="226" spans="1:22" ht="38.25">
      <c r="A226" s="223">
        <f t="shared" si="10"/>
        <v>58</v>
      </c>
      <c r="B226" s="303" t="s">
        <v>297</v>
      </c>
      <c r="C226" s="236" t="s">
        <v>644</v>
      </c>
      <c r="D226" s="196" t="s">
        <v>739</v>
      </c>
      <c r="E226" s="197" t="s">
        <v>778</v>
      </c>
      <c r="F226" s="198">
        <v>1</v>
      </c>
      <c r="G226" s="374"/>
      <c r="H226" s="199">
        <f t="shared" si="9"/>
        <v>0</v>
      </c>
      <c r="I226" s="157" t="s">
        <v>115</v>
      </c>
      <c r="J226" s="283"/>
      <c r="K226" s="227"/>
      <c r="L226" s="114" t="s">
        <v>740</v>
      </c>
      <c r="P226" s="1"/>
      <c r="S226" t="s">
        <v>103</v>
      </c>
      <c r="T226" s="65"/>
      <c r="U226" s="65"/>
      <c r="V226" s="65"/>
    </row>
    <row r="227" spans="1:12" ht="13.5" thickBot="1">
      <c r="A227" s="223">
        <f t="shared" si="10"/>
        <v>59</v>
      </c>
      <c r="B227" s="302" t="s">
        <v>593</v>
      </c>
      <c r="C227" s="78"/>
      <c r="D227" s="94" t="s">
        <v>429</v>
      </c>
      <c r="E227" s="80" t="s">
        <v>784</v>
      </c>
      <c r="F227" s="137">
        <f>+H209+H212+H214+H216+H218+H219+H221+H222+H224+H226</f>
        <v>0</v>
      </c>
      <c r="G227" s="375"/>
      <c r="H227" s="81">
        <f t="shared" si="9"/>
        <v>0</v>
      </c>
      <c r="I227" s="218" t="s">
        <v>115</v>
      </c>
      <c r="J227" s="283"/>
      <c r="K227" s="104"/>
      <c r="L227" s="3"/>
    </row>
    <row r="228" spans="1:9" ht="13.5" thickBot="1">
      <c r="A228" s="172"/>
      <c r="B228" s="308"/>
      <c r="C228" s="78"/>
      <c r="D228" s="95" t="s">
        <v>777</v>
      </c>
      <c r="E228" s="96"/>
      <c r="F228" s="143"/>
      <c r="G228" s="376"/>
      <c r="H228" s="88">
        <f>SUBTOTAL(9,H209:H227)</f>
        <v>0</v>
      </c>
      <c r="I228" s="218"/>
    </row>
    <row r="229" spans="1:9" ht="12.75">
      <c r="A229" s="172"/>
      <c r="B229" s="308"/>
      <c r="C229" s="78"/>
      <c r="D229" s="89"/>
      <c r="E229" s="90"/>
      <c r="F229" s="128"/>
      <c r="G229" s="371"/>
      <c r="H229" s="91"/>
      <c r="I229" s="218"/>
    </row>
    <row r="230" spans="1:9" ht="16.5">
      <c r="A230" s="172"/>
      <c r="B230" s="308"/>
      <c r="C230" s="76" t="s">
        <v>808</v>
      </c>
      <c r="D230" s="112" t="s">
        <v>537</v>
      </c>
      <c r="E230" s="77"/>
      <c r="F230" s="140"/>
      <c r="G230" s="372"/>
      <c r="H230" s="77"/>
      <c r="I230" s="218"/>
    </row>
    <row r="231" spans="1:11" ht="90.75" customHeight="1">
      <c r="A231" s="172"/>
      <c r="B231" s="308"/>
      <c r="C231" s="76"/>
      <c r="D231" s="396" t="s">
        <v>446</v>
      </c>
      <c r="E231" s="396"/>
      <c r="F231" s="396"/>
      <c r="G231" s="377"/>
      <c r="H231" s="111"/>
      <c r="I231" s="218"/>
      <c r="K231" s="6"/>
    </row>
    <row r="232" spans="1:11" ht="51">
      <c r="A232" s="223">
        <f>A227+1</f>
        <v>60</v>
      </c>
      <c r="B232" s="302" t="s">
        <v>48</v>
      </c>
      <c r="C232" s="78" t="s">
        <v>559</v>
      </c>
      <c r="D232" s="82" t="s">
        <v>105</v>
      </c>
      <c r="E232" s="80" t="s">
        <v>776</v>
      </c>
      <c r="F232" s="137">
        <f>3.2+3.9</f>
        <v>7.1</v>
      </c>
      <c r="G232" s="369"/>
      <c r="H232" s="81">
        <f>F232*G232</f>
        <v>0</v>
      </c>
      <c r="I232" s="218" t="s">
        <v>115</v>
      </c>
      <c r="J232" s="283"/>
      <c r="K232" s="104"/>
    </row>
    <row r="233" spans="1:12" ht="12.75">
      <c r="A233" s="223"/>
      <c r="B233" s="309"/>
      <c r="C233" s="195"/>
      <c r="D233" s="83" t="s">
        <v>645</v>
      </c>
      <c r="E233" s="107"/>
      <c r="F233" s="141"/>
      <c r="G233" s="369"/>
      <c r="H233" s="85"/>
      <c r="J233" s="278"/>
      <c r="K233" s="104"/>
      <c r="L233" s="3"/>
    </row>
    <row r="234" spans="1:11" ht="38.25">
      <c r="A234" s="223">
        <f>A232+1</f>
        <v>61</v>
      </c>
      <c r="B234" s="302" t="s">
        <v>47</v>
      </c>
      <c r="C234" s="78" t="s">
        <v>552</v>
      </c>
      <c r="D234" s="82" t="s">
        <v>560</v>
      </c>
      <c r="E234" s="80" t="s">
        <v>776</v>
      </c>
      <c r="F234" s="137">
        <f>10.4+0.45*4.12</f>
        <v>12.254000000000001</v>
      </c>
      <c r="G234" s="369"/>
      <c r="H234" s="81">
        <f>F234*G234</f>
        <v>0</v>
      </c>
      <c r="I234" s="218" t="s">
        <v>115</v>
      </c>
      <c r="J234" s="283"/>
      <c r="K234" s="104"/>
    </row>
    <row r="235" spans="1:11" ht="12.75">
      <c r="A235" s="223"/>
      <c r="B235" s="302"/>
      <c r="C235" s="78"/>
      <c r="D235" s="93" t="s">
        <v>258</v>
      </c>
      <c r="E235" s="80"/>
      <c r="F235" s="137"/>
      <c r="G235" s="369"/>
      <c r="H235" s="81"/>
      <c r="I235" s="218"/>
      <c r="J235" s="283"/>
      <c r="K235" s="104"/>
    </row>
    <row r="236" spans="1:12" ht="12.75">
      <c r="A236" s="223">
        <f>A234+1</f>
        <v>62</v>
      </c>
      <c r="B236" s="302" t="s">
        <v>256</v>
      </c>
      <c r="C236" s="98"/>
      <c r="D236" s="79" t="s">
        <v>257</v>
      </c>
      <c r="E236" s="80" t="s">
        <v>776</v>
      </c>
      <c r="F236" s="138">
        <f>0.2*4.12</f>
        <v>0.8240000000000001</v>
      </c>
      <c r="G236" s="367"/>
      <c r="H236" s="81">
        <f>F236*G236</f>
        <v>0</v>
      </c>
      <c r="I236" s="218" t="s">
        <v>115</v>
      </c>
      <c r="J236" s="283"/>
      <c r="K236" s="104"/>
      <c r="L236" s="3"/>
    </row>
    <row r="237" spans="1:12" ht="12.75">
      <c r="A237" s="223">
        <f>A236+1</f>
        <v>63</v>
      </c>
      <c r="B237" s="302" t="s">
        <v>312</v>
      </c>
      <c r="C237" s="98"/>
      <c r="D237" s="79" t="s">
        <v>561</v>
      </c>
      <c r="E237" s="80" t="s">
        <v>776</v>
      </c>
      <c r="F237" s="138">
        <f>+F232</f>
        <v>7.1</v>
      </c>
      <c r="G237" s="367"/>
      <c r="H237" s="81">
        <f>F237*G237</f>
        <v>0</v>
      </c>
      <c r="I237" s="218" t="s">
        <v>115</v>
      </c>
      <c r="J237" s="283"/>
      <c r="K237" s="104"/>
      <c r="L237" s="3"/>
    </row>
    <row r="238" spans="1:12" ht="13.5" thickBot="1">
      <c r="A238" s="223">
        <f>A237+1</f>
        <v>64</v>
      </c>
      <c r="B238" s="302" t="s">
        <v>347</v>
      </c>
      <c r="C238" s="78"/>
      <c r="D238" s="79" t="s">
        <v>426</v>
      </c>
      <c r="E238" s="102" t="s">
        <v>784</v>
      </c>
      <c r="F238" s="137">
        <f>+H232+H234+H236</f>
        <v>0</v>
      </c>
      <c r="G238" s="378"/>
      <c r="H238" s="103">
        <f>F238*G238</f>
        <v>0</v>
      </c>
      <c r="I238" s="218" t="s">
        <v>115</v>
      </c>
      <c r="J238" s="283"/>
      <c r="K238" s="104"/>
      <c r="L238" s="3"/>
    </row>
    <row r="239" spans="1:9" ht="13.5" thickBot="1">
      <c r="A239" s="172"/>
      <c r="B239" s="308"/>
      <c r="C239" s="78"/>
      <c r="D239" s="95" t="s">
        <v>777</v>
      </c>
      <c r="E239" s="96"/>
      <c r="F239" s="143"/>
      <c r="G239" s="376"/>
      <c r="H239" s="88">
        <f>SUBTOTAL(9,H232:H238)</f>
        <v>0</v>
      </c>
      <c r="I239" s="218"/>
    </row>
    <row r="240" spans="1:9" ht="12.75">
      <c r="A240" s="172"/>
      <c r="B240" s="308"/>
      <c r="C240" s="78"/>
      <c r="D240" s="89"/>
      <c r="E240" s="90"/>
      <c r="F240" s="128"/>
      <c r="G240" s="371"/>
      <c r="H240" s="91"/>
      <c r="I240" s="218"/>
    </row>
    <row r="241" spans="1:9" ht="16.5">
      <c r="A241" s="172"/>
      <c r="B241" s="308"/>
      <c r="C241" s="92" t="s">
        <v>809</v>
      </c>
      <c r="D241" s="77" t="s">
        <v>119</v>
      </c>
      <c r="E241" s="77"/>
      <c r="F241" s="140"/>
      <c r="G241" s="372"/>
      <c r="H241" s="77"/>
      <c r="I241" s="218"/>
    </row>
    <row r="242" spans="1:11" ht="42" customHeight="1">
      <c r="A242" s="172"/>
      <c r="B242" s="308"/>
      <c r="C242" s="78"/>
      <c r="D242" s="397" t="s">
        <v>436</v>
      </c>
      <c r="E242" s="397"/>
      <c r="F242" s="397"/>
      <c r="G242" s="379"/>
      <c r="H242" s="110"/>
      <c r="I242" s="228"/>
      <c r="K242" s="6"/>
    </row>
    <row r="243" spans="1:9" ht="36.75">
      <c r="A243" s="172">
        <f>A238+1</f>
        <v>65</v>
      </c>
      <c r="B243" s="302" t="s">
        <v>313</v>
      </c>
      <c r="C243" s="78"/>
      <c r="D243" s="79" t="s">
        <v>391</v>
      </c>
      <c r="E243" s="80" t="s">
        <v>776</v>
      </c>
      <c r="F243" s="137">
        <f>SUM(E244:E249)</f>
        <v>204.39010000000002</v>
      </c>
      <c r="G243" s="369"/>
      <c r="H243" s="81">
        <f>F243*G243</f>
        <v>0</v>
      </c>
      <c r="I243" s="218" t="s">
        <v>112</v>
      </c>
    </row>
    <row r="244" spans="1:9" ht="12.75">
      <c r="A244" s="172"/>
      <c r="B244" s="308"/>
      <c r="C244" s="78"/>
      <c r="D244" s="115" t="s">
        <v>250</v>
      </c>
      <c r="E244" s="107">
        <f>2.5*18.39-5*0.9*2.05-1.94*2.5</f>
        <v>31.9</v>
      </c>
      <c r="F244" s="137"/>
      <c r="G244" s="369"/>
      <c r="H244" s="81"/>
      <c r="I244" s="218"/>
    </row>
    <row r="245" spans="1:9" ht="25.5">
      <c r="A245" s="172"/>
      <c r="B245" s="308"/>
      <c r="C245" s="78"/>
      <c r="D245" s="115" t="s">
        <v>647</v>
      </c>
      <c r="E245" s="107">
        <f>15.3*2.63-0.9*2.05-1.31*2.38+13.2+1.31*0.32+2*2.38*0.32-4.12*2.63</f>
        <v>39.583</v>
      </c>
      <c r="F245" s="137"/>
      <c r="G245" s="369"/>
      <c r="H245" s="81"/>
      <c r="I245" s="218"/>
    </row>
    <row r="246" spans="1:9" ht="25.5">
      <c r="A246" s="172"/>
      <c r="B246" s="308"/>
      <c r="C246" s="78"/>
      <c r="D246" s="115" t="s">
        <v>648</v>
      </c>
      <c r="E246" s="107">
        <f>19.2*2.635-0.9*2.05-2*1.34*1.49+20.3+1.34*0.18*2+1.49*0.18*4-4.12*2.63</f>
        <v>55.773399999999995</v>
      </c>
      <c r="F246" s="137"/>
      <c r="G246" s="369"/>
      <c r="H246" s="81"/>
      <c r="I246" s="218"/>
    </row>
    <row r="247" spans="1:9" ht="12.75">
      <c r="A247" s="172"/>
      <c r="B247" s="308"/>
      <c r="C247" s="78"/>
      <c r="D247" s="115" t="s">
        <v>649</v>
      </c>
      <c r="E247" s="107">
        <f>7.3*(2.5-1.51)-0.75*(2.05-1.51)-0.32*0.62</f>
        <v>6.623599999999999</v>
      </c>
      <c r="F247" s="137"/>
      <c r="G247" s="369"/>
      <c r="H247" s="81"/>
      <c r="I247" s="218"/>
    </row>
    <row r="248" spans="1:9" ht="12.75">
      <c r="A248" s="172"/>
      <c r="B248" s="308"/>
      <c r="C248" s="78"/>
      <c r="D248" s="115" t="s">
        <v>650</v>
      </c>
      <c r="E248" s="107">
        <f>8.63*(2.5-1.96)-2*0.32*0.34+0.165*(0.795+0.715)</f>
        <v>4.691750000000001</v>
      </c>
      <c r="F248" s="137"/>
      <c r="G248" s="369"/>
      <c r="H248" s="81"/>
      <c r="I248" s="218"/>
    </row>
    <row r="249" spans="1:9" ht="38.25">
      <c r="A249" s="172"/>
      <c r="B249" s="308"/>
      <c r="C249" s="78"/>
      <c r="D249" s="115" t="s">
        <v>646</v>
      </c>
      <c r="E249" s="107">
        <f>18*2.6-0.9*2.05-2.09*1.42+19.7+0.57*1.02+0.57*2*2.53+0.135*2.09+0.135*2*1.42</f>
        <v>65.81835</v>
      </c>
      <c r="F249" s="137"/>
      <c r="G249" s="369"/>
      <c r="H249" s="81"/>
      <c r="I249" s="218"/>
    </row>
    <row r="250" spans="1:11" ht="12.75">
      <c r="A250" s="172">
        <f>A243+1</f>
        <v>66</v>
      </c>
      <c r="B250" s="302" t="s">
        <v>851</v>
      </c>
      <c r="C250" s="78" t="s">
        <v>121</v>
      </c>
      <c r="D250" s="79" t="s">
        <v>850</v>
      </c>
      <c r="E250" s="80" t="s">
        <v>776</v>
      </c>
      <c r="F250" s="137">
        <f>+F243</f>
        <v>204.39010000000002</v>
      </c>
      <c r="G250" s="369"/>
      <c r="H250" s="81">
        <f>F250*G250</f>
        <v>0</v>
      </c>
      <c r="I250" s="228" t="s">
        <v>112</v>
      </c>
      <c r="K250" s="13"/>
    </row>
    <row r="251" spans="1:12" ht="25.5">
      <c r="A251" s="172">
        <f>A250+1</f>
        <v>67</v>
      </c>
      <c r="B251" s="303" t="s">
        <v>853</v>
      </c>
      <c r="C251" s="78" t="s">
        <v>121</v>
      </c>
      <c r="D251" s="82" t="s">
        <v>852</v>
      </c>
      <c r="E251" s="80" t="s">
        <v>776</v>
      </c>
      <c r="F251" s="137">
        <f>SUM(E252:E254)</f>
        <v>42.8448</v>
      </c>
      <c r="G251" s="369"/>
      <c r="H251" s="81">
        <f>F251*G251</f>
        <v>0</v>
      </c>
      <c r="I251" s="228" t="s">
        <v>112</v>
      </c>
      <c r="J251" s="286"/>
      <c r="K251" s="104"/>
      <c r="L251" s="13"/>
    </row>
    <row r="252" spans="1:12" ht="12.75">
      <c r="A252" s="223"/>
      <c r="B252" s="303"/>
      <c r="C252" s="78"/>
      <c r="D252" s="83" t="s">
        <v>615</v>
      </c>
      <c r="E252" s="107">
        <f>(1.22+5.38)*1.52</f>
        <v>10.032</v>
      </c>
      <c r="F252" s="137"/>
      <c r="G252" s="369"/>
      <c r="H252" s="81"/>
      <c r="I252" s="228"/>
      <c r="J252" s="286"/>
      <c r="K252" s="104"/>
      <c r="L252" s="13"/>
    </row>
    <row r="253" spans="1:12" ht="12.75">
      <c r="A253" s="223"/>
      <c r="B253" s="303"/>
      <c r="C253" s="78"/>
      <c r="D253" s="83" t="s">
        <v>614</v>
      </c>
      <c r="E253" s="107">
        <f>7.3*2.4-0.75*2.02-0.32*0.62</f>
        <v>15.8066</v>
      </c>
      <c r="F253" s="137"/>
      <c r="G253" s="369"/>
      <c r="H253" s="81"/>
      <c r="I253" s="228"/>
      <c r="J253" s="286"/>
      <c r="K253" s="104"/>
      <c r="L253" s="13"/>
    </row>
    <row r="254" spans="1:12" ht="12.75">
      <c r="A254" s="223"/>
      <c r="B254" s="303"/>
      <c r="C254" s="78"/>
      <c r="D254" s="83" t="s">
        <v>613</v>
      </c>
      <c r="E254" s="107">
        <f>8.64*2.4-0.9*2.02-0.75*2.02-2*0.32*0.62</f>
        <v>17.0062</v>
      </c>
      <c r="F254" s="137"/>
      <c r="G254" s="369"/>
      <c r="H254" s="81"/>
      <c r="I254" s="228"/>
      <c r="J254" s="286"/>
      <c r="K254" s="104"/>
      <c r="L254" s="13"/>
    </row>
    <row r="255" spans="1:11" ht="12.75">
      <c r="A255" s="172">
        <f>A251+1</f>
        <v>68</v>
      </c>
      <c r="B255" s="302" t="s">
        <v>854</v>
      </c>
      <c r="C255" s="78"/>
      <c r="D255" s="79" t="s">
        <v>553</v>
      </c>
      <c r="E255" s="80" t="s">
        <v>776</v>
      </c>
      <c r="F255" s="137">
        <f>F256</f>
        <v>200.81950000000003</v>
      </c>
      <c r="G255" s="369"/>
      <c r="H255" s="81">
        <f>F255*G255</f>
        <v>0</v>
      </c>
      <c r="I255" s="228" t="s">
        <v>112</v>
      </c>
      <c r="K255" s="13"/>
    </row>
    <row r="256" spans="1:12" ht="25.5">
      <c r="A256" s="223">
        <f>A255+1</f>
        <v>69</v>
      </c>
      <c r="B256" s="302" t="s">
        <v>898</v>
      </c>
      <c r="C256" s="78" t="s">
        <v>122</v>
      </c>
      <c r="D256" s="82" t="s">
        <v>217</v>
      </c>
      <c r="E256" s="84" t="s">
        <v>776</v>
      </c>
      <c r="F256" s="137">
        <f>SUM(E257:E262)</f>
        <v>200.81950000000003</v>
      </c>
      <c r="G256" s="369"/>
      <c r="H256" s="85">
        <f>F256*G256</f>
        <v>0</v>
      </c>
      <c r="I256" s="228" t="s">
        <v>112</v>
      </c>
      <c r="J256" s="286"/>
      <c r="K256" s="104"/>
      <c r="L256" s="6"/>
    </row>
    <row r="257" spans="1:11" ht="12.75">
      <c r="A257" s="172"/>
      <c r="B257" s="308"/>
      <c r="C257" s="78"/>
      <c r="D257" s="115" t="s">
        <v>249</v>
      </c>
      <c r="E257" s="107">
        <f>2.5*18.39-2*0.9*2.05-2*0.08*2.05-1.94*2.6</f>
        <v>36.913000000000004</v>
      </c>
      <c r="F257" s="137"/>
      <c r="G257" s="369"/>
      <c r="H257" s="85"/>
      <c r="I257" s="228"/>
      <c r="K257" s="6"/>
    </row>
    <row r="258" spans="1:11" ht="25.5">
      <c r="A258" s="172"/>
      <c r="B258" s="308"/>
      <c r="C258" s="78"/>
      <c r="D258" s="115" t="s">
        <v>651</v>
      </c>
      <c r="E258" s="107">
        <f>15.3*2.63-0.9*2.05-1.31*2.38+13.2+1.31*0.32+2*2.38*0.32</f>
        <v>50.4186</v>
      </c>
      <c r="F258" s="137"/>
      <c r="G258" s="369"/>
      <c r="H258" s="85"/>
      <c r="I258" s="228"/>
      <c r="K258" s="6"/>
    </row>
    <row r="259" spans="1:11" ht="12.75">
      <c r="A259" s="172"/>
      <c r="B259" s="308"/>
      <c r="C259" s="78"/>
      <c r="D259" s="115" t="s">
        <v>652</v>
      </c>
      <c r="E259" s="107">
        <f>13.3*2.635-0.9*2.05-1.34*1.49+2*1.49*0.32</f>
        <v>32.1575</v>
      </c>
      <c r="F259" s="137"/>
      <c r="G259" s="369"/>
      <c r="H259" s="85"/>
      <c r="I259" s="228"/>
      <c r="K259" s="6"/>
    </row>
    <row r="260" spans="1:11" ht="25.5">
      <c r="A260" s="172"/>
      <c r="B260" s="308"/>
      <c r="C260" s="78"/>
      <c r="D260" s="115" t="s">
        <v>659</v>
      </c>
      <c r="E260" s="107">
        <f>7.3*2.5-0.8*2.05-0.32*0.62+0.05*(1.57+1.13)+0.1*0.95</f>
        <v>16.6416</v>
      </c>
      <c r="F260" s="137"/>
      <c r="G260" s="369"/>
      <c r="H260" s="85"/>
      <c r="I260" s="228"/>
      <c r="K260" s="6"/>
    </row>
    <row r="261" spans="1:11" ht="12.75">
      <c r="A261" s="172"/>
      <c r="B261" s="308"/>
      <c r="C261" s="78"/>
      <c r="D261" s="115" t="s">
        <v>660</v>
      </c>
      <c r="E261" s="107">
        <f>8.63*2.5-0.8*2.05-0.32*0.62+0.05*1.88</f>
        <v>19.830600000000004</v>
      </c>
      <c r="F261" s="137"/>
      <c r="G261" s="369"/>
      <c r="H261" s="85"/>
      <c r="I261" s="228"/>
      <c r="K261" s="6"/>
    </row>
    <row r="262" spans="1:11" ht="25.5">
      <c r="A262" s="172"/>
      <c r="B262" s="308"/>
      <c r="C262" s="78"/>
      <c r="D262" s="115" t="s">
        <v>655</v>
      </c>
      <c r="E262" s="107">
        <f>17.7*2.6-0.9*2.05-2.09*1.42+0.57*2*2.53+0.27*2*1.42</f>
        <v>44.85820000000001</v>
      </c>
      <c r="F262" s="137"/>
      <c r="G262" s="369"/>
      <c r="H262" s="85"/>
      <c r="I262" s="228"/>
      <c r="K262" s="6"/>
    </row>
    <row r="263" spans="1:11" ht="25.5">
      <c r="A263" s="172">
        <f>A256+1</f>
        <v>70</v>
      </c>
      <c r="B263" s="303" t="s">
        <v>899</v>
      </c>
      <c r="C263" s="78"/>
      <c r="D263" s="82" t="s">
        <v>218</v>
      </c>
      <c r="E263" s="80" t="s">
        <v>776</v>
      </c>
      <c r="F263" s="137">
        <f>SUM(E264:E269)</f>
        <v>72.73594</v>
      </c>
      <c r="G263" s="369"/>
      <c r="H263" s="85">
        <f>F263*G263</f>
        <v>0</v>
      </c>
      <c r="I263" s="228" t="s">
        <v>112</v>
      </c>
      <c r="K263" s="6"/>
    </row>
    <row r="264" spans="1:11" ht="12.75">
      <c r="A264" s="172"/>
      <c r="B264" s="308"/>
      <c r="C264" s="78"/>
      <c r="D264" s="115" t="s">
        <v>246</v>
      </c>
      <c r="E264" s="107">
        <v>11.1</v>
      </c>
      <c r="F264" s="137"/>
      <c r="G264" s="369"/>
      <c r="H264" s="85"/>
      <c r="I264" s="228"/>
      <c r="K264" s="6"/>
    </row>
    <row r="265" spans="1:11" ht="12.75">
      <c r="A265" s="172"/>
      <c r="B265" s="308"/>
      <c r="C265" s="78"/>
      <c r="D265" s="115" t="s">
        <v>657</v>
      </c>
      <c r="E265" s="107">
        <f>21.5+1.31*0.32+1.34*0.32+0.54*1.04</f>
        <v>22.909599999999998</v>
      </c>
      <c r="F265" s="137"/>
      <c r="G265" s="369"/>
      <c r="H265" s="85"/>
      <c r="I265" s="228"/>
      <c r="K265" s="6"/>
    </row>
    <row r="266" spans="1:11" ht="12.75">
      <c r="A266" s="172"/>
      <c r="B266" s="308"/>
      <c r="C266" s="78"/>
      <c r="D266" s="115" t="s">
        <v>656</v>
      </c>
      <c r="E266" s="107">
        <f>10.3+1.33*0.32</f>
        <v>10.7256</v>
      </c>
      <c r="F266" s="137"/>
      <c r="G266" s="369"/>
      <c r="H266" s="85"/>
      <c r="I266" s="228"/>
      <c r="K266" s="6"/>
    </row>
    <row r="267" spans="1:11" ht="12.75">
      <c r="A267" s="172"/>
      <c r="B267" s="308"/>
      <c r="C267" s="78"/>
      <c r="D267" s="115" t="s">
        <v>753</v>
      </c>
      <c r="E267" s="107">
        <v>3.3</v>
      </c>
      <c r="F267" s="137"/>
      <c r="G267" s="369"/>
      <c r="H267" s="85"/>
      <c r="I267" s="228"/>
      <c r="K267" s="6"/>
    </row>
    <row r="268" spans="1:11" ht="12.75">
      <c r="A268" s="172"/>
      <c r="B268" s="308"/>
      <c r="C268" s="78"/>
      <c r="D268" s="115" t="s">
        <v>754</v>
      </c>
      <c r="E268" s="107">
        <f>3.9+0.834*0.16+0.76*0.16</f>
        <v>4.15504</v>
      </c>
      <c r="F268" s="137"/>
      <c r="G268" s="369"/>
      <c r="H268" s="85"/>
      <c r="I268" s="228"/>
      <c r="K268" s="6"/>
    </row>
    <row r="269" spans="1:11" ht="12.75">
      <c r="A269" s="172"/>
      <c r="B269" s="308"/>
      <c r="C269" s="78"/>
      <c r="D269" s="115" t="s">
        <v>658</v>
      </c>
      <c r="E269" s="107">
        <f>19.4+0.57*1.02+0.27*2.09</f>
        <v>20.545699999999997</v>
      </c>
      <c r="F269" s="137"/>
      <c r="G269" s="369"/>
      <c r="H269" s="85"/>
      <c r="I269" s="228"/>
      <c r="K269" s="6"/>
    </row>
    <row r="270" spans="1:11" ht="38.25">
      <c r="A270" s="172">
        <f>A263+1</f>
        <v>71</v>
      </c>
      <c r="B270" s="302" t="s">
        <v>317</v>
      </c>
      <c r="C270" s="78" t="s">
        <v>122</v>
      </c>
      <c r="D270" s="79" t="s">
        <v>375</v>
      </c>
      <c r="E270" s="80" t="s">
        <v>776</v>
      </c>
      <c r="F270" s="137">
        <f>SUM(E271:E276)</f>
        <v>151.8107</v>
      </c>
      <c r="G270" s="369"/>
      <c r="H270" s="81">
        <f>F270*G270</f>
        <v>0</v>
      </c>
      <c r="I270" s="218" t="s">
        <v>112</v>
      </c>
      <c r="K270" s="6"/>
    </row>
    <row r="271" spans="1:11" ht="12.75">
      <c r="A271" s="172"/>
      <c r="B271" s="308"/>
      <c r="C271" s="78"/>
      <c r="D271" s="115" t="s">
        <v>248</v>
      </c>
      <c r="E271" s="107">
        <f>2.5*19.3-2*0.9*2.05-2*0.08*2.05-1.94*2.6</f>
        <v>39.188</v>
      </c>
      <c r="F271" s="137"/>
      <c r="G271" s="369"/>
      <c r="H271" s="85"/>
      <c r="I271" s="228"/>
      <c r="K271" s="6"/>
    </row>
    <row r="272" spans="1:11" ht="12.75">
      <c r="A272" s="172"/>
      <c r="B272" s="308"/>
      <c r="C272" s="78"/>
      <c r="D272" s="115" t="s">
        <v>661</v>
      </c>
      <c r="E272" s="107">
        <f>18.7*2.63-0.9*2.05-1.31*2.38-1.34*1.49-0.6*3.35</f>
        <v>40.2116</v>
      </c>
      <c r="F272" s="137"/>
      <c r="G272" s="369"/>
      <c r="H272" s="85"/>
      <c r="I272" s="228"/>
      <c r="K272" s="6"/>
    </row>
    <row r="273" spans="1:11" ht="12.75">
      <c r="A273" s="172"/>
      <c r="B273" s="308"/>
      <c r="C273" s="78"/>
      <c r="D273" s="115" t="s">
        <v>664</v>
      </c>
      <c r="E273" s="107">
        <f>13.3*2.635-0.9*2.05-1.34*1.49</f>
        <v>31.203899999999997</v>
      </c>
      <c r="F273" s="137"/>
      <c r="G273" s="369"/>
      <c r="H273" s="85"/>
      <c r="I273" s="228"/>
      <c r="K273" s="6"/>
    </row>
    <row r="274" spans="1:11" ht="12.75">
      <c r="A274" s="172"/>
      <c r="B274" s="308"/>
      <c r="C274" s="78"/>
      <c r="D274" s="115" t="s">
        <v>653</v>
      </c>
      <c r="E274" s="107">
        <v>0</v>
      </c>
      <c r="F274" s="137"/>
      <c r="G274" s="369"/>
      <c r="H274" s="85"/>
      <c r="I274" s="228"/>
      <c r="K274" s="6"/>
    </row>
    <row r="275" spans="1:11" ht="12.75">
      <c r="A275" s="172"/>
      <c r="B275" s="308"/>
      <c r="C275" s="78"/>
      <c r="D275" s="115" t="s">
        <v>654</v>
      </c>
      <c r="E275" s="107">
        <v>0</v>
      </c>
      <c r="F275" s="137"/>
      <c r="G275" s="369"/>
      <c r="H275" s="85"/>
      <c r="I275" s="228"/>
      <c r="K275" s="6"/>
    </row>
    <row r="276" spans="1:11" ht="12.75">
      <c r="A276" s="172"/>
      <c r="B276" s="308"/>
      <c r="C276" s="78"/>
      <c r="D276" s="115" t="s">
        <v>667</v>
      </c>
      <c r="E276" s="107">
        <f>17.7*2.6-0.9*2.05-2.09*1.42</f>
        <v>41.20720000000001</v>
      </c>
      <c r="F276" s="137"/>
      <c r="G276" s="369"/>
      <c r="H276" s="85"/>
      <c r="I276" s="228"/>
      <c r="K276" s="6"/>
    </row>
    <row r="277" spans="1:11" ht="38.25">
      <c r="A277" s="194">
        <f>A270+1</f>
        <v>72</v>
      </c>
      <c r="B277" s="303" t="s">
        <v>555</v>
      </c>
      <c r="C277" s="195" t="s">
        <v>321</v>
      </c>
      <c r="D277" s="82" t="s">
        <v>482</v>
      </c>
      <c r="E277" s="84" t="s">
        <v>776</v>
      </c>
      <c r="F277" s="141">
        <f>SUM(E278:E283)</f>
        <v>9.813799999999999</v>
      </c>
      <c r="G277" s="369"/>
      <c r="H277" s="85">
        <f>F277*G277</f>
        <v>0</v>
      </c>
      <c r="I277" s="157" t="s">
        <v>112</v>
      </c>
      <c r="K277"/>
    </row>
    <row r="278" spans="1:11" ht="12.75">
      <c r="A278" s="194"/>
      <c r="B278" s="303"/>
      <c r="C278" s="195"/>
      <c r="D278" s="115" t="s">
        <v>662</v>
      </c>
      <c r="E278" s="107">
        <v>0</v>
      </c>
      <c r="F278" s="141"/>
      <c r="G278" s="369"/>
      <c r="H278" s="85"/>
      <c r="I278" s="364"/>
      <c r="K278"/>
    </row>
    <row r="279" spans="1:11" ht="12.75">
      <c r="A279" s="194"/>
      <c r="B279" s="303"/>
      <c r="C279" s="195"/>
      <c r="D279" s="115" t="s">
        <v>663</v>
      </c>
      <c r="E279" s="107">
        <f>2*2.38*0.32+2*0.32*1.49+2*0.54*2.53</f>
        <v>5.2092</v>
      </c>
      <c r="F279" s="141"/>
      <c r="G279" s="369"/>
      <c r="H279" s="85"/>
      <c r="I279" s="364"/>
      <c r="K279"/>
    </row>
    <row r="280" spans="1:11" ht="12.75">
      <c r="A280" s="194"/>
      <c r="B280" s="303"/>
      <c r="C280" s="195"/>
      <c r="D280" s="115" t="s">
        <v>665</v>
      </c>
      <c r="E280" s="107">
        <f>2*1.49*0.32</f>
        <v>0.9536</v>
      </c>
      <c r="F280" s="141"/>
      <c r="G280" s="369"/>
      <c r="H280" s="85"/>
      <c r="I280" s="364"/>
      <c r="K280"/>
    </row>
    <row r="281" spans="1:11" ht="12.75">
      <c r="A281" s="194"/>
      <c r="B281" s="303"/>
      <c r="C281" s="195"/>
      <c r="D281" s="115" t="s">
        <v>653</v>
      </c>
      <c r="E281" s="107">
        <v>0</v>
      </c>
      <c r="F281" s="141"/>
      <c r="G281" s="369"/>
      <c r="H281" s="85"/>
      <c r="I281" s="364"/>
      <c r="K281"/>
    </row>
    <row r="282" spans="1:11" ht="12.75">
      <c r="A282" s="194"/>
      <c r="B282" s="303"/>
      <c r="C282" s="195"/>
      <c r="D282" s="115" t="s">
        <v>654</v>
      </c>
      <c r="E282" s="107">
        <v>0</v>
      </c>
      <c r="F282" s="141"/>
      <c r="G282" s="369"/>
      <c r="H282" s="85"/>
      <c r="I282" s="364"/>
      <c r="K282"/>
    </row>
    <row r="283" spans="1:11" ht="12.75">
      <c r="A283" s="194"/>
      <c r="B283" s="303"/>
      <c r="C283" s="195"/>
      <c r="D283" s="115" t="s">
        <v>666</v>
      </c>
      <c r="E283" s="107">
        <f>0.57*2*2.53+0.27*2*1.42</f>
        <v>3.6509999999999994</v>
      </c>
      <c r="F283" s="141"/>
      <c r="G283" s="369"/>
      <c r="H283" s="85"/>
      <c r="I283" s="364"/>
      <c r="K283"/>
    </row>
    <row r="284" spans="1:12" ht="38.25">
      <c r="A284" s="223">
        <f>A277+1</f>
        <v>73</v>
      </c>
      <c r="B284" s="302" t="s">
        <v>26</v>
      </c>
      <c r="C284" s="78" t="s">
        <v>122</v>
      </c>
      <c r="D284" s="79" t="s">
        <v>788</v>
      </c>
      <c r="E284" s="80" t="s">
        <v>776</v>
      </c>
      <c r="F284" s="137">
        <f>+F263</f>
        <v>72.73594</v>
      </c>
      <c r="G284" s="369"/>
      <c r="H284" s="81">
        <f>F284*G284</f>
        <v>0</v>
      </c>
      <c r="I284" s="218" t="s">
        <v>112</v>
      </c>
      <c r="J284" s="283"/>
      <c r="K284" s="104"/>
      <c r="L284" s="6"/>
    </row>
    <row r="285" spans="1:22" ht="25.5">
      <c r="A285" s="224">
        <f>A284+1</f>
        <v>74</v>
      </c>
      <c r="B285" s="303" t="s">
        <v>31</v>
      </c>
      <c r="C285" s="195"/>
      <c r="D285" s="82" t="s">
        <v>32</v>
      </c>
      <c r="E285" s="84" t="s">
        <v>776</v>
      </c>
      <c r="F285" s="141">
        <f>+(12.5+2.5)*0.2</f>
        <v>3</v>
      </c>
      <c r="G285" s="369"/>
      <c r="H285" s="85">
        <f>F285*G285</f>
        <v>0</v>
      </c>
      <c r="I285" s="157" t="s">
        <v>112</v>
      </c>
      <c r="J285" s="278"/>
      <c r="K285" s="104"/>
      <c r="T285" s="65"/>
      <c r="U285" s="65"/>
      <c r="V285" s="65"/>
    </row>
    <row r="286" spans="1:22" ht="12.75">
      <c r="A286" s="224">
        <f>A285+1</f>
        <v>75</v>
      </c>
      <c r="B286" s="303" t="s">
        <v>900</v>
      </c>
      <c r="C286" s="195"/>
      <c r="D286" s="82" t="s">
        <v>33</v>
      </c>
      <c r="E286" s="84" t="s">
        <v>776</v>
      </c>
      <c r="F286" s="141">
        <f>+F285*1.1</f>
        <v>3.3000000000000003</v>
      </c>
      <c r="G286" s="369"/>
      <c r="H286" s="85">
        <f>F286*G286</f>
        <v>0</v>
      </c>
      <c r="I286" s="157" t="s">
        <v>112</v>
      </c>
      <c r="J286" s="278"/>
      <c r="K286" s="104"/>
      <c r="T286" s="65"/>
      <c r="U286" s="65"/>
      <c r="V286" s="65"/>
    </row>
    <row r="287" spans="1:11" ht="12.75">
      <c r="A287" s="224">
        <f>A286+1</f>
        <v>76</v>
      </c>
      <c r="B287" s="303" t="s">
        <v>557</v>
      </c>
      <c r="C287" s="195" t="s">
        <v>321</v>
      </c>
      <c r="D287" s="82" t="s">
        <v>556</v>
      </c>
      <c r="E287" s="84" t="s">
        <v>779</v>
      </c>
      <c r="F287" s="141">
        <f>SUM(E288:E291)</f>
        <v>30.080000000000002</v>
      </c>
      <c r="G287" s="369"/>
      <c r="H287" s="85">
        <f>F287*G287</f>
        <v>0</v>
      </c>
      <c r="I287" s="157" t="s">
        <v>112</v>
      </c>
      <c r="K287"/>
    </row>
    <row r="288" spans="1:11" ht="12.75">
      <c r="A288" s="172"/>
      <c r="B288" s="308"/>
      <c r="C288" s="78"/>
      <c r="D288" s="115" t="s">
        <v>247</v>
      </c>
      <c r="E288" s="107">
        <f>2.4+2*2</f>
        <v>6.4</v>
      </c>
      <c r="F288" s="137"/>
      <c r="G288" s="369"/>
      <c r="H288" s="85"/>
      <c r="I288" s="228"/>
      <c r="K288" s="6"/>
    </row>
    <row r="289" spans="1:11" ht="12.75">
      <c r="A289" s="172"/>
      <c r="B289" s="308"/>
      <c r="C289" s="78"/>
      <c r="D289" s="115" t="s">
        <v>668</v>
      </c>
      <c r="E289" s="107">
        <f>2*2.53+2*2.38+2*1.49</f>
        <v>12.8</v>
      </c>
      <c r="F289" s="137"/>
      <c r="G289" s="369"/>
      <c r="H289" s="85"/>
      <c r="I289" s="228"/>
      <c r="K289" s="6"/>
    </row>
    <row r="290" spans="1:11" ht="12.75">
      <c r="A290" s="172"/>
      <c r="B290" s="308"/>
      <c r="C290" s="78"/>
      <c r="D290" s="115" t="s">
        <v>669</v>
      </c>
      <c r="E290" s="107">
        <f>2*1.49</f>
        <v>2.98</v>
      </c>
      <c r="F290" s="137"/>
      <c r="G290" s="369"/>
      <c r="H290" s="85"/>
      <c r="I290" s="228"/>
      <c r="K290" s="6"/>
    </row>
    <row r="291" spans="1:11" ht="12.75">
      <c r="A291" s="172"/>
      <c r="B291" s="308"/>
      <c r="C291" s="78"/>
      <c r="D291" s="115" t="s">
        <v>670</v>
      </c>
      <c r="E291" s="107">
        <f>2*2.53+2*1.42</f>
        <v>7.8999999999999995</v>
      </c>
      <c r="F291" s="137"/>
      <c r="G291" s="369"/>
      <c r="H291" s="85"/>
      <c r="I291" s="228"/>
      <c r="K291" s="6"/>
    </row>
    <row r="292" spans="1:12" ht="25.5">
      <c r="A292" s="224">
        <f>A287+1</f>
        <v>77</v>
      </c>
      <c r="B292" s="303" t="s">
        <v>554</v>
      </c>
      <c r="C292" s="195" t="s">
        <v>321</v>
      </c>
      <c r="D292" s="82" t="s">
        <v>562</v>
      </c>
      <c r="E292" s="84" t="s">
        <v>779</v>
      </c>
      <c r="F292" s="141">
        <f>SUM(E293:E298)</f>
        <v>48.400000000000006</v>
      </c>
      <c r="G292" s="369"/>
      <c r="H292" s="85">
        <f>F292*G292</f>
        <v>0</v>
      </c>
      <c r="I292" s="157" t="s">
        <v>112</v>
      </c>
      <c r="J292" s="278"/>
      <c r="K292" s="104"/>
      <c r="L292"/>
    </row>
    <row r="293" spans="1:12" ht="12.75">
      <c r="A293" s="223"/>
      <c r="B293" s="302"/>
      <c r="C293" s="78"/>
      <c r="D293" s="115" t="s">
        <v>671</v>
      </c>
      <c r="E293" s="200">
        <f>3*(0.9+2*2.05)</f>
        <v>15</v>
      </c>
      <c r="F293" s="137"/>
      <c r="G293" s="369"/>
      <c r="H293" s="81"/>
      <c r="I293" s="228"/>
      <c r="J293" s="286"/>
      <c r="K293" s="104"/>
      <c r="L293" s="6"/>
    </row>
    <row r="294" spans="1:12" ht="12.75">
      <c r="A294" s="223"/>
      <c r="B294" s="302"/>
      <c r="C294" s="78"/>
      <c r="D294" s="115" t="s">
        <v>672</v>
      </c>
      <c r="E294" s="200">
        <f>0.9+2*2.05+1.31+2*2.38+1.34+2*1.49</f>
        <v>15.39</v>
      </c>
      <c r="F294" s="137"/>
      <c r="G294" s="369"/>
      <c r="H294" s="81"/>
      <c r="I294" s="228"/>
      <c r="J294" s="286"/>
      <c r="K294" s="104"/>
      <c r="L294" s="6"/>
    </row>
    <row r="295" spans="1:12" ht="12.75">
      <c r="A295" s="223"/>
      <c r="B295" s="302"/>
      <c r="C295" s="78"/>
      <c r="D295" s="115" t="s">
        <v>673</v>
      </c>
      <c r="E295" s="200">
        <f>1.34+2*1.49</f>
        <v>4.32</v>
      </c>
      <c r="F295" s="137"/>
      <c r="G295" s="369"/>
      <c r="H295" s="81"/>
      <c r="I295" s="228"/>
      <c r="J295" s="286"/>
      <c r="K295" s="104"/>
      <c r="L295" s="6"/>
    </row>
    <row r="296" spans="1:12" ht="12.75">
      <c r="A296" s="223"/>
      <c r="B296" s="302"/>
      <c r="C296" s="78"/>
      <c r="D296" s="115" t="s">
        <v>674</v>
      </c>
      <c r="E296" s="200">
        <f>2*(0.32+0.62)</f>
        <v>1.88</v>
      </c>
      <c r="F296" s="137"/>
      <c r="G296" s="369"/>
      <c r="H296" s="81"/>
      <c r="I296" s="228"/>
      <c r="J296" s="286"/>
      <c r="K296" s="104"/>
      <c r="L296" s="6"/>
    </row>
    <row r="297" spans="1:12" ht="12.75">
      <c r="A297" s="223"/>
      <c r="B297" s="302"/>
      <c r="C297" s="78"/>
      <c r="D297" s="115" t="s">
        <v>675</v>
      </c>
      <c r="E297" s="200">
        <f>2*(0.32+0.62)</f>
        <v>1.88</v>
      </c>
      <c r="F297" s="137"/>
      <c r="G297" s="369"/>
      <c r="H297" s="81"/>
      <c r="I297" s="228"/>
      <c r="J297" s="286"/>
      <c r="K297" s="104"/>
      <c r="L297" s="6"/>
    </row>
    <row r="298" spans="1:12" ht="12.75">
      <c r="A298" s="223"/>
      <c r="B298" s="302"/>
      <c r="C298" s="78"/>
      <c r="D298" s="115" t="s">
        <v>676</v>
      </c>
      <c r="E298" s="200">
        <f>0.9+2*2.05+2.09+2*1.42</f>
        <v>9.93</v>
      </c>
      <c r="F298" s="137"/>
      <c r="G298" s="369"/>
      <c r="H298" s="81"/>
      <c r="I298" s="228"/>
      <c r="J298" s="286"/>
      <c r="K298" s="104"/>
      <c r="L298" s="6"/>
    </row>
    <row r="299" spans="1:12" ht="25.5">
      <c r="A299" s="224">
        <f>A292+1</f>
        <v>78</v>
      </c>
      <c r="B299" s="303" t="s">
        <v>183</v>
      </c>
      <c r="C299" s="195" t="s">
        <v>528</v>
      </c>
      <c r="D299" s="82" t="s">
        <v>316</v>
      </c>
      <c r="E299" s="84" t="s">
        <v>776</v>
      </c>
      <c r="F299" s="141">
        <f>+F303+F300+F307</f>
        <v>37.3212</v>
      </c>
      <c r="G299" s="369"/>
      <c r="H299" s="85">
        <f>F299*G299</f>
        <v>0</v>
      </c>
      <c r="I299" s="157" t="s">
        <v>112</v>
      </c>
      <c r="J299" s="278"/>
      <c r="K299" s="104"/>
      <c r="L299"/>
    </row>
    <row r="300" spans="1:12" ht="25.5">
      <c r="A300" s="224">
        <f>A299+1</f>
        <v>79</v>
      </c>
      <c r="B300" s="303" t="s">
        <v>389</v>
      </c>
      <c r="C300" s="195" t="s">
        <v>564</v>
      </c>
      <c r="D300" s="82" t="s">
        <v>678</v>
      </c>
      <c r="E300" s="84" t="s">
        <v>776</v>
      </c>
      <c r="F300" s="141">
        <f>SUM(E301:E302)</f>
        <v>26.683200000000003</v>
      </c>
      <c r="G300" s="369"/>
      <c r="H300" s="85">
        <f>F300*G300</f>
        <v>0</v>
      </c>
      <c r="I300" s="157" t="s">
        <v>112</v>
      </c>
      <c r="J300" s="278"/>
      <c r="K300" s="104"/>
      <c r="L300"/>
    </row>
    <row r="301" spans="1:12" ht="25.5">
      <c r="A301" s="223"/>
      <c r="B301" s="302"/>
      <c r="C301" s="78"/>
      <c r="D301" s="115" t="s">
        <v>681</v>
      </c>
      <c r="E301" s="107">
        <f>7.3*2.4-0.8*2.05-0.32*0.62+0.05*(1.57+1.13)+0.1*0.95-E304</f>
        <v>11.361600000000001</v>
      </c>
      <c r="F301" s="137"/>
      <c r="G301" s="369"/>
      <c r="H301" s="81"/>
      <c r="I301" s="228"/>
      <c r="J301" s="286"/>
      <c r="K301" s="104"/>
      <c r="L301" s="6"/>
    </row>
    <row r="302" spans="1:12" ht="12.75">
      <c r="A302" s="223"/>
      <c r="B302" s="302"/>
      <c r="C302" s="78"/>
      <c r="D302" s="115" t="s">
        <v>682</v>
      </c>
      <c r="E302" s="107">
        <f>8.63*2.4-0.8*2.05-0.32*0.62+0.05*1.88-E305</f>
        <v>15.321600000000002</v>
      </c>
      <c r="F302" s="137"/>
      <c r="G302" s="369"/>
      <c r="H302" s="81"/>
      <c r="I302" s="228"/>
      <c r="J302" s="286"/>
      <c r="K302" s="104"/>
      <c r="L302" s="6"/>
    </row>
    <row r="303" spans="1:12" ht="25.5">
      <c r="A303" s="224">
        <f>A300+1</f>
        <v>80</v>
      </c>
      <c r="B303" s="303" t="s">
        <v>390</v>
      </c>
      <c r="C303" s="195" t="s">
        <v>563</v>
      </c>
      <c r="D303" s="82" t="s">
        <v>677</v>
      </c>
      <c r="E303" s="84" t="s">
        <v>776</v>
      </c>
      <c r="F303" s="137">
        <f>SUM(E304:E305)</f>
        <v>8.195999999999998</v>
      </c>
      <c r="G303" s="369"/>
      <c r="H303" s="85">
        <f>F303*G303</f>
        <v>0</v>
      </c>
      <c r="I303" s="157" t="s">
        <v>112</v>
      </c>
      <c r="J303" s="278"/>
      <c r="K303" s="104"/>
      <c r="L303"/>
    </row>
    <row r="304" spans="1:12" ht="25.5">
      <c r="A304" s="223"/>
      <c r="B304" s="302"/>
      <c r="C304" s="78"/>
      <c r="D304" s="115" t="s">
        <v>679</v>
      </c>
      <c r="E304" s="107">
        <f>1.2*(1.47+0.95+0.05+1.13)+0.05*(1.57+1.13)+0.1*0.95</f>
        <v>4.549999999999999</v>
      </c>
      <c r="F304" s="137"/>
      <c r="G304" s="369"/>
      <c r="H304" s="81"/>
      <c r="I304" s="228"/>
      <c r="J304" s="286"/>
      <c r="K304" s="104"/>
      <c r="L304" s="6"/>
    </row>
    <row r="305" spans="1:12" ht="12.75">
      <c r="A305" s="223"/>
      <c r="B305" s="302"/>
      <c r="C305" s="78"/>
      <c r="D305" s="115" t="s">
        <v>680</v>
      </c>
      <c r="E305" s="107">
        <f>1.88*2.4-0.6*1.6+0.05*1.88</f>
        <v>3.6459999999999995</v>
      </c>
      <c r="F305" s="137"/>
      <c r="G305" s="369"/>
      <c r="H305" s="81"/>
      <c r="I305" s="228"/>
      <c r="J305" s="286"/>
      <c r="K305" s="104"/>
      <c r="L305" s="6"/>
    </row>
    <row r="306" spans="1:12" ht="12.75">
      <c r="A306" s="224">
        <f>A303+1</f>
        <v>81</v>
      </c>
      <c r="B306" s="303" t="s">
        <v>408</v>
      </c>
      <c r="C306" s="195"/>
      <c r="D306" s="82" t="s">
        <v>683</v>
      </c>
      <c r="E306" s="84" t="s">
        <v>776</v>
      </c>
      <c r="F306" s="137">
        <f>+F303</f>
        <v>8.195999999999998</v>
      </c>
      <c r="G306" s="369"/>
      <c r="H306" s="85">
        <f>F306*G306</f>
        <v>0</v>
      </c>
      <c r="I306" s="157" t="s">
        <v>112</v>
      </c>
      <c r="J306" s="278"/>
      <c r="K306" s="104"/>
      <c r="L306"/>
    </row>
    <row r="307" spans="1:12" ht="25.5">
      <c r="A307" s="224">
        <f>A306+1</f>
        <v>82</v>
      </c>
      <c r="B307" s="303" t="s">
        <v>389</v>
      </c>
      <c r="C307" s="195" t="s">
        <v>66</v>
      </c>
      <c r="D307" s="82" t="s">
        <v>684</v>
      </c>
      <c r="E307" s="84" t="s">
        <v>776</v>
      </c>
      <c r="F307" s="141">
        <f>SUM(E308:E308)</f>
        <v>2.442</v>
      </c>
      <c r="G307" s="369"/>
      <c r="H307" s="85">
        <f>F307*G307</f>
        <v>0</v>
      </c>
      <c r="I307" s="157" t="s">
        <v>112</v>
      </c>
      <c r="J307" s="278"/>
      <c r="K307" s="104"/>
      <c r="L307"/>
    </row>
    <row r="308" spans="1:12" ht="12.75">
      <c r="A308" s="223"/>
      <c r="B308" s="302"/>
      <c r="C308" s="78"/>
      <c r="D308" s="115" t="s">
        <v>856</v>
      </c>
      <c r="E308" s="200">
        <f>(3.35+0.6)*0.6+0.12*0.6</f>
        <v>2.442</v>
      </c>
      <c r="F308" s="137"/>
      <c r="G308" s="369"/>
      <c r="H308" s="81"/>
      <c r="I308" s="228"/>
      <c r="J308" s="286"/>
      <c r="K308" s="104"/>
      <c r="L308" s="6"/>
    </row>
    <row r="309" spans="1:12" ht="12.75">
      <c r="A309" s="224">
        <f>A307+1</f>
        <v>83</v>
      </c>
      <c r="B309" s="303" t="s">
        <v>558</v>
      </c>
      <c r="C309" s="195"/>
      <c r="D309" s="82" t="s">
        <v>855</v>
      </c>
      <c r="E309" s="84" t="s">
        <v>776</v>
      </c>
      <c r="F309" s="146">
        <f>+F303+F307</f>
        <v>10.637999999999998</v>
      </c>
      <c r="G309" s="367"/>
      <c r="H309" s="85">
        <f aca="true" t="shared" si="11" ref="H309:H322">F309*G309</f>
        <v>0</v>
      </c>
      <c r="I309" s="157" t="s">
        <v>112</v>
      </c>
      <c r="J309" s="278"/>
      <c r="K309" s="104"/>
      <c r="L309"/>
    </row>
    <row r="310" spans="1:12" ht="25.5">
      <c r="A310" s="224">
        <f>A309+1</f>
        <v>84</v>
      </c>
      <c r="B310" s="303" t="s">
        <v>409</v>
      </c>
      <c r="C310" s="236" t="s">
        <v>124</v>
      </c>
      <c r="D310" s="196" t="s">
        <v>685</v>
      </c>
      <c r="E310" s="197" t="s">
        <v>776</v>
      </c>
      <c r="F310" s="198">
        <f>F300*1.1</f>
        <v>29.351520000000004</v>
      </c>
      <c r="G310" s="374"/>
      <c r="H310" s="199">
        <f t="shared" si="11"/>
        <v>0</v>
      </c>
      <c r="I310" s="157" t="s">
        <v>112</v>
      </c>
      <c r="J310" s="278"/>
      <c r="K310" s="104"/>
      <c r="L310" s="114" t="s">
        <v>220</v>
      </c>
    </row>
    <row r="311" spans="1:12" ht="25.5">
      <c r="A311" s="224">
        <f>A310+1</f>
        <v>85</v>
      </c>
      <c r="B311" s="303" t="s">
        <v>410</v>
      </c>
      <c r="C311" s="236" t="s">
        <v>125</v>
      </c>
      <c r="D311" s="196" t="s">
        <v>686</v>
      </c>
      <c r="E311" s="197" t="s">
        <v>776</v>
      </c>
      <c r="F311" s="198">
        <f>+F303*1.1</f>
        <v>9.0156</v>
      </c>
      <c r="G311" s="374"/>
      <c r="H311" s="199">
        <f t="shared" si="11"/>
        <v>0</v>
      </c>
      <c r="I311" s="157" t="s">
        <v>112</v>
      </c>
      <c r="J311" s="278"/>
      <c r="K311" s="104"/>
      <c r="L311" t="s">
        <v>219</v>
      </c>
    </row>
    <row r="312" spans="1:22" s="151" customFormat="1" ht="25.5">
      <c r="A312" s="224">
        <f>A311+1</f>
        <v>86</v>
      </c>
      <c r="B312" s="303" t="s">
        <v>411</v>
      </c>
      <c r="C312" s="236" t="s">
        <v>67</v>
      </c>
      <c r="D312" s="196" t="s">
        <v>687</v>
      </c>
      <c r="E312" s="197" t="s">
        <v>776</v>
      </c>
      <c r="F312" s="198">
        <f>+(F307)*1.1</f>
        <v>2.6862000000000004</v>
      </c>
      <c r="G312" s="374"/>
      <c r="H312" s="199">
        <f>F312*G312</f>
        <v>0</v>
      </c>
      <c r="I312" s="157" t="s">
        <v>112</v>
      </c>
      <c r="J312" s="278"/>
      <c r="K312" s="104"/>
      <c r="L312" s="114" t="s">
        <v>220</v>
      </c>
      <c r="T312" s="65"/>
      <c r="U312" s="65"/>
      <c r="V312" s="65"/>
    </row>
    <row r="313" spans="1:12" ht="25.5">
      <c r="A313" s="224">
        <f>A312+1</f>
        <v>87</v>
      </c>
      <c r="B313" s="303" t="s">
        <v>5</v>
      </c>
      <c r="C313" s="195" t="s">
        <v>126</v>
      </c>
      <c r="D313" s="82" t="s">
        <v>688</v>
      </c>
      <c r="E313" s="84" t="s">
        <v>778</v>
      </c>
      <c r="F313" s="141">
        <f>CEILING(((E314+E315+E316)*1.15),2.5)/2.5</f>
        <v>10</v>
      </c>
      <c r="G313" s="367"/>
      <c r="H313" s="85">
        <f t="shared" si="11"/>
        <v>0</v>
      </c>
      <c r="I313" s="157" t="s">
        <v>112</v>
      </c>
      <c r="J313" s="278"/>
      <c r="K313" s="104"/>
      <c r="L313" t="s">
        <v>565</v>
      </c>
    </row>
    <row r="314" spans="1:11" ht="16.5">
      <c r="A314" s="224"/>
      <c r="B314" s="302"/>
      <c r="C314" s="98"/>
      <c r="D314" s="115" t="s">
        <v>689</v>
      </c>
      <c r="E314" s="200">
        <v>0.6</v>
      </c>
      <c r="F314" s="142"/>
      <c r="G314" s="374"/>
      <c r="H314" s="101"/>
      <c r="I314" s="218"/>
      <c r="K314" s="114"/>
    </row>
    <row r="315" spans="1:11" ht="16.5">
      <c r="A315" s="224"/>
      <c r="B315" s="302"/>
      <c r="C315" s="98"/>
      <c r="D315" s="115" t="s">
        <v>857</v>
      </c>
      <c r="E315" s="200">
        <f>1.2+1.47+0.95+1.2+(0.32+0.62)*2</f>
        <v>6.7</v>
      </c>
      <c r="F315" s="142"/>
      <c r="G315" s="374"/>
      <c r="H315" s="101"/>
      <c r="I315" s="218"/>
      <c r="K315" s="114"/>
    </row>
    <row r="316" spans="1:11" ht="16.5">
      <c r="A316" s="224"/>
      <c r="B316" s="302"/>
      <c r="C316" s="98"/>
      <c r="D316" s="115" t="s">
        <v>858</v>
      </c>
      <c r="E316" s="200">
        <f>3*2.32+2.4+1.88+(0.32+0.62)*2</f>
        <v>13.119999999999997</v>
      </c>
      <c r="F316" s="142"/>
      <c r="G316" s="374"/>
      <c r="H316" s="101"/>
      <c r="I316" s="218"/>
      <c r="K316" s="114"/>
    </row>
    <row r="317" spans="1:12" ht="12.75">
      <c r="A317" s="224">
        <f>A313+1</f>
        <v>88</v>
      </c>
      <c r="B317" s="303" t="s">
        <v>184</v>
      </c>
      <c r="C317" s="195" t="s">
        <v>123</v>
      </c>
      <c r="D317" s="82" t="s">
        <v>185</v>
      </c>
      <c r="E317" s="84" t="s">
        <v>776</v>
      </c>
      <c r="F317" s="141">
        <f>2.4*(0.28+0.35)+1.8*1.6+1.8*(0.835+0.165)+0.05*1.88</f>
        <v>6.2860000000000005</v>
      </c>
      <c r="G317" s="369"/>
      <c r="H317" s="85">
        <f t="shared" si="11"/>
        <v>0</v>
      </c>
      <c r="I317" s="157" t="s">
        <v>112</v>
      </c>
      <c r="J317" s="278"/>
      <c r="K317" s="104"/>
      <c r="L317"/>
    </row>
    <row r="318" spans="1:12" ht="16.5">
      <c r="A318" s="224">
        <f>A317+1</f>
        <v>89</v>
      </c>
      <c r="B318" s="303" t="s">
        <v>7</v>
      </c>
      <c r="C318" s="236" t="s">
        <v>126</v>
      </c>
      <c r="D318" s="196" t="s">
        <v>399</v>
      </c>
      <c r="E318" s="197" t="s">
        <v>794</v>
      </c>
      <c r="F318" s="198">
        <f>+F317*2*1.5</f>
        <v>18.858</v>
      </c>
      <c r="G318" s="374"/>
      <c r="H318" s="199">
        <f t="shared" si="11"/>
        <v>0</v>
      </c>
      <c r="I318" s="157" t="s">
        <v>112</v>
      </c>
      <c r="J318" s="278"/>
      <c r="K318" s="104"/>
      <c r="L318" s="114" t="s">
        <v>6</v>
      </c>
    </row>
    <row r="319" spans="1:12" ht="12.75">
      <c r="A319" s="224">
        <f>A318+1</f>
        <v>90</v>
      </c>
      <c r="B319" s="303" t="s">
        <v>318</v>
      </c>
      <c r="C319" s="236"/>
      <c r="D319" s="82" t="s">
        <v>200</v>
      </c>
      <c r="E319" s="84" t="s">
        <v>779</v>
      </c>
      <c r="F319" s="141">
        <f>F320</f>
        <v>7.199999999999999</v>
      </c>
      <c r="G319" s="369"/>
      <c r="H319" s="85">
        <f t="shared" si="11"/>
        <v>0</v>
      </c>
      <c r="I319" s="157" t="s">
        <v>112</v>
      </c>
      <c r="J319" s="278"/>
      <c r="K319" s="104"/>
      <c r="L319"/>
    </row>
    <row r="320" spans="1:12" ht="25.5">
      <c r="A320" s="224">
        <f>A319+1</f>
        <v>91</v>
      </c>
      <c r="B320" s="303">
        <v>28355360</v>
      </c>
      <c r="C320" s="236" t="s">
        <v>126</v>
      </c>
      <c r="D320" s="196" t="s">
        <v>68</v>
      </c>
      <c r="E320" s="197" t="s">
        <v>779</v>
      </c>
      <c r="F320" s="198">
        <f>2.4*3</f>
        <v>7.199999999999999</v>
      </c>
      <c r="G320" s="374"/>
      <c r="H320" s="199">
        <f t="shared" si="11"/>
        <v>0</v>
      </c>
      <c r="I320" s="157" t="s">
        <v>112</v>
      </c>
      <c r="J320" s="278"/>
      <c r="K320" s="104"/>
      <c r="L320"/>
    </row>
    <row r="321" spans="1:12" ht="12.75">
      <c r="A321" s="224">
        <f>A320+1</f>
        <v>92</v>
      </c>
      <c r="B321" s="303" t="s">
        <v>333</v>
      </c>
      <c r="C321" s="236"/>
      <c r="D321" s="82" t="s">
        <v>237</v>
      </c>
      <c r="E321" s="84" t="s">
        <v>776</v>
      </c>
      <c r="F321" s="146">
        <f>+F322</f>
        <v>253.55624000000003</v>
      </c>
      <c r="G321" s="367"/>
      <c r="H321" s="85">
        <f t="shared" si="11"/>
        <v>0</v>
      </c>
      <c r="I321" s="157" t="s">
        <v>112</v>
      </c>
      <c r="J321" s="278"/>
      <c r="K321" s="104"/>
      <c r="L321"/>
    </row>
    <row r="322" spans="1:12" ht="12.75">
      <c r="A322" s="224">
        <f>A321+1</f>
        <v>93</v>
      </c>
      <c r="B322" s="303" t="s">
        <v>320</v>
      </c>
      <c r="C322" s="236"/>
      <c r="D322" s="82" t="s">
        <v>319</v>
      </c>
      <c r="E322" s="84" t="s">
        <v>776</v>
      </c>
      <c r="F322" s="141">
        <f>+E323+E328</f>
        <v>253.55624000000003</v>
      </c>
      <c r="G322" s="369"/>
      <c r="H322" s="85">
        <f t="shared" si="11"/>
        <v>0</v>
      </c>
      <c r="I322" s="157" t="s">
        <v>112</v>
      </c>
      <c r="J322" s="278"/>
      <c r="K322" s="104"/>
      <c r="L322"/>
    </row>
    <row r="323" spans="1:12" ht="12.75">
      <c r="A323" s="224"/>
      <c r="B323" s="303"/>
      <c r="C323" s="195"/>
      <c r="D323" s="93" t="s">
        <v>223</v>
      </c>
      <c r="E323" s="107">
        <f>+E324+E325+E326+E327</f>
        <v>180.82030000000003</v>
      </c>
      <c r="F323" s="146"/>
      <c r="G323" s="369"/>
      <c r="H323" s="85"/>
      <c r="J323" s="278"/>
      <c r="K323" s="104"/>
      <c r="L323"/>
    </row>
    <row r="324" spans="1:12" ht="12.75">
      <c r="A324" s="224"/>
      <c r="B324" s="303"/>
      <c r="C324" s="195"/>
      <c r="D324" s="257" t="s">
        <v>699</v>
      </c>
      <c r="E324" s="258">
        <f>2.6*18.39-1.94*2.6</f>
        <v>42.77</v>
      </c>
      <c r="F324" s="146"/>
      <c r="G324" s="369"/>
      <c r="H324" s="85"/>
      <c r="J324" s="278"/>
      <c r="K324" s="104"/>
      <c r="L324"/>
    </row>
    <row r="325" spans="1:12" ht="12.75">
      <c r="A325" s="224"/>
      <c r="B325" s="303"/>
      <c r="C325" s="195"/>
      <c r="D325" s="257" t="s">
        <v>698</v>
      </c>
      <c r="E325" s="258">
        <f>18.7*2.63+2*2.38*0.32+2*0.32*1.49+2*0.54*2.53-0.6*3.35</f>
        <v>52.3802</v>
      </c>
      <c r="F325" s="146"/>
      <c r="G325" s="369"/>
      <c r="H325" s="85"/>
      <c r="J325" s="278"/>
      <c r="K325" s="104"/>
      <c r="L325"/>
    </row>
    <row r="326" spans="1:12" ht="12.75">
      <c r="A326" s="224"/>
      <c r="B326" s="303"/>
      <c r="C326" s="195"/>
      <c r="D326" s="257" t="s">
        <v>690</v>
      </c>
      <c r="E326" s="258">
        <f>13.3*2.635+2*1.49*0.32</f>
        <v>35.9991</v>
      </c>
      <c r="F326" s="146"/>
      <c r="G326" s="369"/>
      <c r="H326" s="85"/>
      <c r="J326" s="278"/>
      <c r="K326" s="104"/>
      <c r="L326"/>
    </row>
    <row r="327" spans="1:12" ht="12.75">
      <c r="A327" s="224"/>
      <c r="B327" s="303"/>
      <c r="C327" s="195"/>
      <c r="D327" s="257" t="s">
        <v>697</v>
      </c>
      <c r="E327" s="258">
        <f>17.7*2.6+0.57*2*2.53+0.27*2*1.42</f>
        <v>49.67100000000001</v>
      </c>
      <c r="F327" s="146"/>
      <c r="G327" s="369"/>
      <c r="H327" s="85"/>
      <c r="J327" s="278"/>
      <c r="K327" s="104"/>
      <c r="L327"/>
    </row>
    <row r="328" spans="1:12" ht="12.75">
      <c r="A328" s="224"/>
      <c r="B328" s="303"/>
      <c r="C328" s="195"/>
      <c r="D328" s="93" t="s">
        <v>224</v>
      </c>
      <c r="E328" s="107">
        <f>+F284</f>
        <v>72.73594</v>
      </c>
      <c r="F328" s="146"/>
      <c r="G328" s="369"/>
      <c r="H328" s="85"/>
      <c r="J328" s="278"/>
      <c r="K328" s="104"/>
      <c r="L328"/>
    </row>
    <row r="329" spans="1:12" ht="12.75">
      <c r="A329" s="224">
        <f>A322+1</f>
        <v>94</v>
      </c>
      <c r="B329" s="303" t="s">
        <v>8</v>
      </c>
      <c r="C329" s="195"/>
      <c r="D329" s="82" t="s">
        <v>118</v>
      </c>
      <c r="E329" s="84" t="s">
        <v>775</v>
      </c>
      <c r="F329" s="141">
        <v>1</v>
      </c>
      <c r="G329" s="369"/>
      <c r="H329" s="85">
        <f>F329*G329</f>
        <v>0</v>
      </c>
      <c r="I329" s="157" t="s">
        <v>112</v>
      </c>
      <c r="J329" s="278"/>
      <c r="K329" s="104"/>
      <c r="L329"/>
    </row>
    <row r="330" spans="1:12" ht="13.5" thickBot="1">
      <c r="A330" s="224">
        <f>A329+1</f>
        <v>95</v>
      </c>
      <c r="B330" s="303" t="s">
        <v>347</v>
      </c>
      <c r="C330" s="195"/>
      <c r="D330" s="201" t="s">
        <v>429</v>
      </c>
      <c r="E330" s="84" t="s">
        <v>784</v>
      </c>
      <c r="F330" s="141">
        <f>+H251+H255+H256+H263+H270+H277+H284+H285+H286+H287+H299+H310+H311+H312+H313+H318+H320+H321+H322+H329+H292+H250</f>
        <v>0</v>
      </c>
      <c r="G330" s="375"/>
      <c r="H330" s="85">
        <f>F330*G330</f>
        <v>0</v>
      </c>
      <c r="I330" s="157" t="s">
        <v>112</v>
      </c>
      <c r="J330" s="278"/>
      <c r="K330" s="104"/>
      <c r="L330"/>
    </row>
    <row r="331" spans="1:11" ht="13.5" thickBot="1">
      <c r="A331" s="194"/>
      <c r="B331" s="303"/>
      <c r="C331" s="195"/>
      <c r="D331" s="95" t="s">
        <v>777</v>
      </c>
      <c r="E331" s="96"/>
      <c r="F331" s="202"/>
      <c r="G331" s="376"/>
      <c r="H331" s="88">
        <f>SUBTOTAL(9,H243:H330)</f>
        <v>0</v>
      </c>
      <c r="K331"/>
    </row>
    <row r="332" spans="1:11" ht="12.75">
      <c r="A332" s="194"/>
      <c r="B332" s="303"/>
      <c r="C332" s="195"/>
      <c r="D332" s="203"/>
      <c r="E332" s="187"/>
      <c r="F332" s="135"/>
      <c r="G332" s="380"/>
      <c r="H332" s="188"/>
      <c r="K332"/>
    </row>
    <row r="333" spans="1:11" ht="16.5">
      <c r="A333" s="194"/>
      <c r="B333" s="303"/>
      <c r="C333" s="237" t="s">
        <v>810</v>
      </c>
      <c r="D333" s="77" t="s">
        <v>396</v>
      </c>
      <c r="E333" s="77"/>
      <c r="F333" s="140"/>
      <c r="G333" s="372"/>
      <c r="H333" s="77"/>
      <c r="K333"/>
    </row>
    <row r="334" spans="1:11" ht="87.75" customHeight="1">
      <c r="A334" s="194"/>
      <c r="B334" s="303"/>
      <c r="C334" s="210"/>
      <c r="D334" s="396" t="s">
        <v>450</v>
      </c>
      <c r="E334" s="396"/>
      <c r="F334" s="396"/>
      <c r="G334" s="379"/>
      <c r="H334" s="110"/>
      <c r="J334" s="290"/>
      <c r="K334"/>
    </row>
    <row r="335" spans="1:12" ht="12.75">
      <c r="A335" s="224">
        <f>A330+1</f>
        <v>96</v>
      </c>
      <c r="B335" s="309" t="s">
        <v>700</v>
      </c>
      <c r="C335" s="195" t="s">
        <v>704</v>
      </c>
      <c r="D335" s="82" t="s">
        <v>701</v>
      </c>
      <c r="E335" s="84" t="s">
        <v>778</v>
      </c>
      <c r="F335" s="141">
        <v>3</v>
      </c>
      <c r="G335" s="369"/>
      <c r="H335" s="85">
        <f>F335*G335</f>
        <v>0</v>
      </c>
      <c r="I335" s="157" t="s">
        <v>112</v>
      </c>
      <c r="J335" s="278"/>
      <c r="K335" s="104"/>
      <c r="L335"/>
    </row>
    <row r="336" spans="1:12" ht="12.75" hidden="1">
      <c r="A336" s="224"/>
      <c r="B336" s="303"/>
      <c r="C336" s="266"/>
      <c r="D336" s="204" t="s">
        <v>732</v>
      </c>
      <c r="E336" s="205"/>
      <c r="F336" s="206">
        <v>6990</v>
      </c>
      <c r="G336" s="381"/>
      <c r="H336" s="85"/>
      <c r="J336" s="278"/>
      <c r="K336" s="104"/>
      <c r="L336"/>
    </row>
    <row r="337" spans="1:12" ht="12" customHeight="1" hidden="1">
      <c r="A337" s="224"/>
      <c r="B337" s="303"/>
      <c r="C337" s="266"/>
      <c r="D337" s="204" t="s">
        <v>733</v>
      </c>
      <c r="E337" s="205"/>
      <c r="F337" s="206">
        <v>500</v>
      </c>
      <c r="G337" s="381"/>
      <c r="H337" s="85"/>
      <c r="J337" s="278"/>
      <c r="K337" s="104"/>
      <c r="L337"/>
    </row>
    <row r="338" spans="1:12" ht="16.5" hidden="1">
      <c r="A338" s="224"/>
      <c r="B338" s="303"/>
      <c r="C338" s="267"/>
      <c r="D338" s="204" t="s">
        <v>566</v>
      </c>
      <c r="E338" s="205"/>
      <c r="F338" s="229">
        <f>799+200</f>
        <v>999</v>
      </c>
      <c r="G338" s="380"/>
      <c r="H338" s="199"/>
      <c r="J338" s="278"/>
      <c r="K338" s="104"/>
      <c r="L338" s="159"/>
    </row>
    <row r="339" spans="1:12" ht="16.5" hidden="1">
      <c r="A339" s="224"/>
      <c r="B339" s="303"/>
      <c r="C339" s="267"/>
      <c r="D339" s="204" t="s">
        <v>567</v>
      </c>
      <c r="E339" s="205"/>
      <c r="F339" s="229">
        <f>980+200</f>
        <v>1180</v>
      </c>
      <c r="G339" s="380"/>
      <c r="H339" s="199"/>
      <c r="J339" s="278"/>
      <c r="K339" s="104"/>
      <c r="L339" s="159"/>
    </row>
    <row r="340" spans="1:12" ht="16.5" hidden="1">
      <c r="A340" s="224"/>
      <c r="B340" s="303"/>
      <c r="C340" s="267"/>
      <c r="D340" s="204" t="s">
        <v>49</v>
      </c>
      <c r="E340" s="205"/>
      <c r="F340" s="229">
        <v>200</v>
      </c>
      <c r="G340" s="380"/>
      <c r="H340" s="199"/>
      <c r="J340" s="278"/>
      <c r="K340" s="104"/>
      <c r="L340" s="158"/>
    </row>
    <row r="341" spans="1:12" ht="25.5">
      <c r="A341" s="224">
        <f>A335+1</f>
        <v>97</v>
      </c>
      <c r="B341" s="303" t="s">
        <v>10</v>
      </c>
      <c r="C341" s="236" t="s">
        <v>69</v>
      </c>
      <c r="D341" s="196" t="s">
        <v>702</v>
      </c>
      <c r="E341" s="197" t="s">
        <v>778</v>
      </c>
      <c r="F341" s="198">
        <v>2</v>
      </c>
      <c r="G341" s="374"/>
      <c r="H341" s="199">
        <f aca="true" t="shared" si="12" ref="H341:H346">F341*G341</f>
        <v>0</v>
      </c>
      <c r="I341" s="157" t="s">
        <v>112</v>
      </c>
      <c r="J341" s="278"/>
      <c r="K341" s="104"/>
      <c r="L341" s="158"/>
    </row>
    <row r="342" spans="1:12" ht="25.5">
      <c r="A342" s="224">
        <f aca="true" t="shared" si="13" ref="A342:A356">A341+1</f>
        <v>98</v>
      </c>
      <c r="B342" s="303" t="s">
        <v>10</v>
      </c>
      <c r="C342" s="236" t="s">
        <v>70</v>
      </c>
      <c r="D342" s="196" t="s">
        <v>703</v>
      </c>
      <c r="E342" s="197" t="s">
        <v>778</v>
      </c>
      <c r="F342" s="198">
        <v>1</v>
      </c>
      <c r="G342" s="374"/>
      <c r="H342" s="199">
        <f t="shared" si="12"/>
        <v>0</v>
      </c>
      <c r="I342" s="157" t="s">
        <v>112</v>
      </c>
      <c r="J342" s="278"/>
      <c r="K342" s="104"/>
      <c r="L342" s="158"/>
    </row>
    <row r="343" spans="1:12" ht="38.25">
      <c r="A343" s="194">
        <f t="shared" si="13"/>
        <v>99</v>
      </c>
      <c r="B343" s="303" t="s">
        <v>387</v>
      </c>
      <c r="C343" s="195" t="s">
        <v>523</v>
      </c>
      <c r="D343" s="82" t="s">
        <v>388</v>
      </c>
      <c r="E343" s="84" t="s">
        <v>776</v>
      </c>
      <c r="F343" s="141">
        <f>2*0.8*1.97</f>
        <v>3.152</v>
      </c>
      <c r="G343" s="369"/>
      <c r="H343" s="85">
        <f t="shared" si="12"/>
        <v>0</v>
      </c>
      <c r="I343" s="157" t="s">
        <v>112</v>
      </c>
      <c r="J343" s="278"/>
      <c r="K343" s="104"/>
      <c r="L343"/>
    </row>
    <row r="344" spans="1:22" ht="38.25">
      <c r="A344" s="194">
        <f t="shared" si="13"/>
        <v>100</v>
      </c>
      <c r="B344" s="303" t="s">
        <v>50</v>
      </c>
      <c r="C344" s="236" t="s">
        <v>705</v>
      </c>
      <c r="D344" s="196" t="s">
        <v>859</v>
      </c>
      <c r="E344" s="197" t="s">
        <v>778</v>
      </c>
      <c r="F344" s="198">
        <v>1</v>
      </c>
      <c r="G344" s="374"/>
      <c r="H344" s="199">
        <f t="shared" si="12"/>
        <v>0</v>
      </c>
      <c r="I344" s="157" t="s">
        <v>112</v>
      </c>
      <c r="K344" s="158"/>
      <c r="L344" s="114" t="s">
        <v>489</v>
      </c>
      <c r="T344" s="65"/>
      <c r="U344" s="65"/>
      <c r="V344" s="65"/>
    </row>
    <row r="345" spans="1:22" ht="25.5">
      <c r="A345" s="194">
        <f>A344+1</f>
        <v>101</v>
      </c>
      <c r="B345" s="303" t="s">
        <v>11</v>
      </c>
      <c r="C345" s="195" t="s">
        <v>706</v>
      </c>
      <c r="D345" s="79" t="s">
        <v>860</v>
      </c>
      <c r="E345" s="84" t="s">
        <v>778</v>
      </c>
      <c r="F345" s="141">
        <v>1</v>
      </c>
      <c r="G345" s="369"/>
      <c r="H345" s="85">
        <f t="shared" si="12"/>
        <v>0</v>
      </c>
      <c r="I345" s="157" t="s">
        <v>112</v>
      </c>
      <c r="K345" s="158"/>
      <c r="T345" s="65"/>
      <c r="U345" s="65"/>
      <c r="V345" s="65"/>
    </row>
    <row r="346" spans="1:22" ht="51">
      <c r="A346" s="194">
        <f t="shared" si="13"/>
        <v>102</v>
      </c>
      <c r="B346" s="303" t="s">
        <v>386</v>
      </c>
      <c r="C346" s="195" t="s">
        <v>405</v>
      </c>
      <c r="D346" s="82" t="s">
        <v>889</v>
      </c>
      <c r="E346" s="84" t="s">
        <v>776</v>
      </c>
      <c r="F346" s="141">
        <f>0.32*0.62*3</f>
        <v>0.5952</v>
      </c>
      <c r="G346" s="369"/>
      <c r="H346" s="85">
        <f t="shared" si="12"/>
        <v>0</v>
      </c>
      <c r="I346" s="157" t="s">
        <v>112</v>
      </c>
      <c r="J346" s="279"/>
      <c r="L346" s="1"/>
      <c r="T346" s="65"/>
      <c r="U346" s="65"/>
      <c r="V346" s="65"/>
    </row>
    <row r="347" spans="1:22" ht="25.5">
      <c r="A347" s="194">
        <f t="shared" si="13"/>
        <v>103</v>
      </c>
      <c r="B347" s="303" t="s">
        <v>726</v>
      </c>
      <c r="C347" s="195" t="s">
        <v>792</v>
      </c>
      <c r="D347" s="82" t="s">
        <v>290</v>
      </c>
      <c r="E347" s="84" t="s">
        <v>784</v>
      </c>
      <c r="F347" s="141">
        <f>G348</f>
        <v>0</v>
      </c>
      <c r="G347" s="382"/>
      <c r="H347" s="85">
        <f aca="true" t="shared" si="14" ref="H347:H356">F347*G347</f>
        <v>0</v>
      </c>
      <c r="I347" s="157" t="s">
        <v>112</v>
      </c>
      <c r="J347" s="279"/>
      <c r="L347" s="156">
        <f>G348/3.35</f>
        <v>0</v>
      </c>
      <c r="T347" s="65"/>
      <c r="U347" s="65"/>
      <c r="V347" s="65"/>
    </row>
    <row r="348" spans="1:22" ht="25.5">
      <c r="A348" s="194">
        <f t="shared" si="13"/>
        <v>104</v>
      </c>
      <c r="B348" s="303" t="s">
        <v>412</v>
      </c>
      <c r="C348" s="236" t="s">
        <v>791</v>
      </c>
      <c r="D348" s="99" t="s">
        <v>538</v>
      </c>
      <c r="E348" s="197" t="s">
        <v>775</v>
      </c>
      <c r="F348" s="154">
        <v>1</v>
      </c>
      <c r="G348" s="374"/>
      <c r="H348" s="199">
        <f t="shared" si="14"/>
        <v>0</v>
      </c>
      <c r="I348" s="157" t="s">
        <v>112</v>
      </c>
      <c r="J348" s="279"/>
      <c r="L348" t="s">
        <v>295</v>
      </c>
      <c r="T348" s="65"/>
      <c r="U348" s="65"/>
      <c r="V348" s="65"/>
    </row>
    <row r="349" spans="1:22" ht="25.5">
      <c r="A349" s="224">
        <f t="shared" si="13"/>
        <v>105</v>
      </c>
      <c r="B349" s="303" t="s">
        <v>414</v>
      </c>
      <c r="C349" s="195" t="s">
        <v>321</v>
      </c>
      <c r="D349" s="79" t="s">
        <v>186</v>
      </c>
      <c r="E349" s="84" t="s">
        <v>778</v>
      </c>
      <c r="F349" s="141">
        <v>1</v>
      </c>
      <c r="G349" s="369"/>
      <c r="H349" s="85">
        <f t="shared" si="14"/>
        <v>0</v>
      </c>
      <c r="I349" s="160" t="s">
        <v>112</v>
      </c>
      <c r="J349" s="285"/>
      <c r="K349" s="104"/>
      <c r="L349" s="158" t="s">
        <v>568</v>
      </c>
      <c r="S349" s="158" t="s">
        <v>334</v>
      </c>
      <c r="T349" s="65"/>
      <c r="U349" s="65"/>
      <c r="V349" s="65"/>
    </row>
    <row r="350" spans="1:22" ht="16.5">
      <c r="A350" s="224">
        <f t="shared" si="13"/>
        <v>106</v>
      </c>
      <c r="B350" s="303" t="s">
        <v>415</v>
      </c>
      <c r="C350" s="195" t="s">
        <v>321</v>
      </c>
      <c r="D350" s="152" t="s">
        <v>695</v>
      </c>
      <c r="E350" s="84" t="s">
        <v>778</v>
      </c>
      <c r="F350" s="141">
        <v>1</v>
      </c>
      <c r="G350" s="369"/>
      <c r="H350" s="85">
        <f t="shared" si="14"/>
        <v>0</v>
      </c>
      <c r="I350" s="160" t="s">
        <v>112</v>
      </c>
      <c r="J350" s="285"/>
      <c r="K350" s="104"/>
      <c r="L350" s="162" t="s">
        <v>696</v>
      </c>
      <c r="R350" s="158"/>
      <c r="S350" s="158" t="s">
        <v>587</v>
      </c>
      <c r="T350" s="65"/>
      <c r="U350" s="65"/>
      <c r="V350" s="65"/>
    </row>
    <row r="351" spans="1:22" ht="25.5">
      <c r="A351" s="224">
        <f t="shared" si="13"/>
        <v>107</v>
      </c>
      <c r="B351" s="303" t="s">
        <v>499</v>
      </c>
      <c r="C351" s="195" t="s">
        <v>321</v>
      </c>
      <c r="D351" s="152" t="s">
        <v>221</v>
      </c>
      <c r="E351" s="84" t="s">
        <v>778</v>
      </c>
      <c r="F351" s="141">
        <v>1</v>
      </c>
      <c r="G351" s="373"/>
      <c r="H351" s="150">
        <f t="shared" si="14"/>
        <v>0</v>
      </c>
      <c r="I351" s="363" t="s">
        <v>115</v>
      </c>
      <c r="J351" s="284"/>
      <c r="K351" s="104"/>
      <c r="L351" s="162" t="s">
        <v>27</v>
      </c>
      <c r="R351" s="158"/>
      <c r="S351" s="158"/>
      <c r="T351" s="65"/>
      <c r="U351" s="65"/>
      <c r="V351" s="65"/>
    </row>
    <row r="352" spans="1:22" ht="25.5">
      <c r="A352" s="224">
        <f t="shared" si="13"/>
        <v>108</v>
      </c>
      <c r="B352" s="303" t="s">
        <v>28</v>
      </c>
      <c r="C352" s="195" t="s">
        <v>321</v>
      </c>
      <c r="D352" s="269" t="s">
        <v>694</v>
      </c>
      <c r="E352" s="84" t="s">
        <v>778</v>
      </c>
      <c r="F352" s="141">
        <v>1</v>
      </c>
      <c r="G352" s="373"/>
      <c r="H352" s="150">
        <f t="shared" si="14"/>
        <v>0</v>
      </c>
      <c r="I352" s="363" t="s">
        <v>115</v>
      </c>
      <c r="J352" s="284"/>
      <c r="K352" s="104"/>
      <c r="L352" s="162" t="s">
        <v>693</v>
      </c>
      <c r="R352" s="158"/>
      <c r="S352" s="158"/>
      <c r="T352" s="65"/>
      <c r="U352" s="65"/>
      <c r="V352" s="65"/>
    </row>
    <row r="353" spans="1:22" ht="25.5">
      <c r="A353" s="224">
        <f t="shared" si="13"/>
        <v>109</v>
      </c>
      <c r="B353" s="303" t="s">
        <v>499</v>
      </c>
      <c r="C353" s="195" t="s">
        <v>321</v>
      </c>
      <c r="D353" s="152" t="s">
        <v>29</v>
      </c>
      <c r="E353" s="84" t="s">
        <v>778</v>
      </c>
      <c r="F353" s="141">
        <v>1</v>
      </c>
      <c r="G353" s="373"/>
      <c r="H353" s="150">
        <f t="shared" si="14"/>
        <v>0</v>
      </c>
      <c r="I353" s="363" t="s">
        <v>115</v>
      </c>
      <c r="J353" s="284"/>
      <c r="K353" s="104"/>
      <c r="L353" s="162" t="s">
        <v>30</v>
      </c>
      <c r="R353" s="158"/>
      <c r="S353" s="158"/>
      <c r="T353" s="65"/>
      <c r="U353" s="65"/>
      <c r="V353" s="65"/>
    </row>
    <row r="354" spans="1:22" ht="38.25">
      <c r="A354" s="224">
        <f t="shared" si="13"/>
        <v>110</v>
      </c>
      <c r="B354" s="303" t="s">
        <v>462</v>
      </c>
      <c r="C354" s="195" t="s">
        <v>321</v>
      </c>
      <c r="D354" s="152" t="s">
        <v>692</v>
      </c>
      <c r="E354" s="84" t="s">
        <v>778</v>
      </c>
      <c r="F354" s="141">
        <v>1</v>
      </c>
      <c r="G354" s="373"/>
      <c r="H354" s="150">
        <f t="shared" si="14"/>
        <v>0</v>
      </c>
      <c r="I354" s="363" t="s">
        <v>115</v>
      </c>
      <c r="J354" s="284"/>
      <c r="K354" s="104"/>
      <c r="L354" s="162" t="s">
        <v>226</v>
      </c>
      <c r="R354" s="158"/>
      <c r="S354" s="158" t="s">
        <v>588</v>
      </c>
      <c r="T354" s="65"/>
      <c r="U354" s="65"/>
      <c r="V354" s="65"/>
    </row>
    <row r="355" spans="1:22" ht="25.5">
      <c r="A355" s="224">
        <f t="shared" si="13"/>
        <v>111</v>
      </c>
      <c r="B355" s="303" t="s">
        <v>413</v>
      </c>
      <c r="C355" s="195" t="s">
        <v>321</v>
      </c>
      <c r="D355" s="82" t="s">
        <v>707</v>
      </c>
      <c r="E355" s="80" t="s">
        <v>778</v>
      </c>
      <c r="F355" s="137">
        <v>1</v>
      </c>
      <c r="G355" s="369"/>
      <c r="H355" s="81">
        <f t="shared" si="14"/>
        <v>0</v>
      </c>
      <c r="I355" s="157" t="s">
        <v>115</v>
      </c>
      <c r="J355" s="278"/>
      <c r="K355" s="104"/>
      <c r="L355" s="158" t="s">
        <v>139</v>
      </c>
      <c r="T355" s="65"/>
      <c r="U355" s="65"/>
      <c r="V355" s="65"/>
    </row>
    <row r="356" spans="1:22" ht="13.5" thickBot="1">
      <c r="A356" s="194">
        <f t="shared" si="13"/>
        <v>112</v>
      </c>
      <c r="B356" s="303" t="s">
        <v>347</v>
      </c>
      <c r="C356" s="195"/>
      <c r="D356" s="82" t="s">
        <v>426</v>
      </c>
      <c r="E356" s="208" t="s">
        <v>784</v>
      </c>
      <c r="F356" s="141">
        <f>+H341+H342+H344+H345+H348+H349+H350+H351+H352+H353+H354+H355</f>
        <v>0</v>
      </c>
      <c r="G356" s="383"/>
      <c r="H356" s="209">
        <f t="shared" si="14"/>
        <v>0</v>
      </c>
      <c r="I356" s="157" t="s">
        <v>115</v>
      </c>
      <c r="J356" s="279"/>
      <c r="T356" s="65"/>
      <c r="U356" s="65"/>
      <c r="V356" s="65"/>
    </row>
    <row r="357" spans="1:22" ht="13.5" thickBot="1">
      <c r="A357" s="194"/>
      <c r="B357" s="303"/>
      <c r="C357" s="195"/>
      <c r="D357" s="95" t="s">
        <v>777</v>
      </c>
      <c r="E357" s="96"/>
      <c r="F357" s="202"/>
      <c r="G357" s="376"/>
      <c r="H357" s="88">
        <f>SUM(H335:H356)</f>
        <v>0</v>
      </c>
      <c r="T357" s="65"/>
      <c r="U357" s="65"/>
      <c r="V357" s="65"/>
    </row>
    <row r="358" spans="1:22" ht="12.75">
      <c r="A358" s="194"/>
      <c r="B358" s="303"/>
      <c r="C358" s="195"/>
      <c r="D358" s="203"/>
      <c r="E358" s="187"/>
      <c r="F358" s="135"/>
      <c r="G358" s="380"/>
      <c r="H358" s="188"/>
      <c r="K358" t="s">
        <v>127</v>
      </c>
      <c r="T358" s="65"/>
      <c r="U358" s="65"/>
      <c r="V358" s="65"/>
    </row>
    <row r="359" spans="1:22" ht="16.5">
      <c r="A359" s="194"/>
      <c r="B359" s="303"/>
      <c r="C359" s="237" t="s">
        <v>811</v>
      </c>
      <c r="D359" s="77" t="s">
        <v>814</v>
      </c>
      <c r="E359" s="77"/>
      <c r="F359" s="140"/>
      <c r="G359" s="372"/>
      <c r="H359" s="77"/>
      <c r="T359" s="65"/>
      <c r="U359" s="65"/>
      <c r="V359" s="65"/>
    </row>
    <row r="360" spans="1:22" ht="99" customHeight="1">
      <c r="A360" s="194"/>
      <c r="B360" s="303"/>
      <c r="C360" s="210"/>
      <c r="D360" s="396" t="s">
        <v>450</v>
      </c>
      <c r="E360" s="396"/>
      <c r="F360" s="396"/>
      <c r="G360" s="379"/>
      <c r="H360" s="110"/>
      <c r="T360" s="65"/>
      <c r="U360" s="65"/>
      <c r="V360" s="65"/>
    </row>
    <row r="361" spans="1:22" ht="16.5">
      <c r="A361" s="194">
        <f>A356+1</f>
        <v>113</v>
      </c>
      <c r="B361" s="311" t="s">
        <v>227</v>
      </c>
      <c r="C361" s="153" t="s">
        <v>792</v>
      </c>
      <c r="D361" s="82" t="s">
        <v>594</v>
      </c>
      <c r="E361" s="149" t="s">
        <v>794</v>
      </c>
      <c r="F361" s="146">
        <f>+F362</f>
        <v>21.679499999999997</v>
      </c>
      <c r="G361" s="373"/>
      <c r="H361" s="150">
        <f aca="true" t="shared" si="15" ref="H361:H368">F361*G361</f>
        <v>0</v>
      </c>
      <c r="I361" s="226" t="s">
        <v>112</v>
      </c>
      <c r="K361" s="158"/>
      <c r="T361" s="65"/>
      <c r="U361" s="65"/>
      <c r="V361" s="65"/>
    </row>
    <row r="362" spans="1:22" ht="25.5">
      <c r="A362" s="194">
        <f aca="true" t="shared" si="16" ref="A362:A368">A361+1</f>
        <v>114</v>
      </c>
      <c r="B362" s="312">
        <v>133301520000</v>
      </c>
      <c r="C362" s="169" t="s">
        <v>520</v>
      </c>
      <c r="D362" s="163" t="s">
        <v>521</v>
      </c>
      <c r="E362" s="164" t="s">
        <v>794</v>
      </c>
      <c r="F362" s="154">
        <f>4.47*4.85</f>
        <v>21.679499999999997</v>
      </c>
      <c r="G362" s="384"/>
      <c r="H362" s="165">
        <f t="shared" si="15"/>
        <v>0</v>
      </c>
      <c r="I362" s="226" t="s">
        <v>112</v>
      </c>
      <c r="K362" s="158"/>
      <c r="T362" s="65"/>
      <c r="U362" s="65"/>
      <c r="V362" s="65"/>
    </row>
    <row r="363" spans="1:22" ht="12.75">
      <c r="A363" s="194">
        <f t="shared" si="16"/>
        <v>115</v>
      </c>
      <c r="B363" s="303" t="s">
        <v>187</v>
      </c>
      <c r="C363" s="259" t="s">
        <v>321</v>
      </c>
      <c r="D363" s="82" t="s">
        <v>51</v>
      </c>
      <c r="E363" s="84" t="s">
        <v>776</v>
      </c>
      <c r="F363" s="146">
        <f>0.2*4.85</f>
        <v>0.97</v>
      </c>
      <c r="G363" s="367"/>
      <c r="H363" s="85">
        <f t="shared" si="15"/>
        <v>0</v>
      </c>
      <c r="I363" s="157" t="s">
        <v>112</v>
      </c>
      <c r="J363" s="279"/>
      <c r="T363" s="65"/>
      <c r="U363" s="65"/>
      <c r="V363" s="65"/>
    </row>
    <row r="364" spans="1:22" ht="12.75">
      <c r="A364" s="194">
        <f t="shared" si="16"/>
        <v>116</v>
      </c>
      <c r="B364" s="303" t="s">
        <v>761</v>
      </c>
      <c r="C364" s="259" t="s">
        <v>321</v>
      </c>
      <c r="D364" s="152" t="s">
        <v>861</v>
      </c>
      <c r="E364" s="149" t="s">
        <v>776</v>
      </c>
      <c r="F364" s="146">
        <f>0.22*(0.8+2*2.02)*2</f>
        <v>2.1296</v>
      </c>
      <c r="G364" s="373"/>
      <c r="H364" s="85">
        <f t="shared" si="15"/>
        <v>0</v>
      </c>
      <c r="I364" s="363" t="s">
        <v>112</v>
      </c>
      <c r="J364" s="279"/>
      <c r="T364" s="65"/>
      <c r="U364" s="65"/>
      <c r="V364" s="65"/>
    </row>
    <row r="365" spans="1:22" ht="25.5">
      <c r="A365" s="194">
        <f t="shared" si="16"/>
        <v>117</v>
      </c>
      <c r="B365" s="310" t="s">
        <v>755</v>
      </c>
      <c r="C365" s="259" t="s">
        <v>792</v>
      </c>
      <c r="D365" s="152" t="s">
        <v>756</v>
      </c>
      <c r="E365" s="149" t="s">
        <v>778</v>
      </c>
      <c r="F365" s="146">
        <f>SUM(F366,F367)</f>
        <v>3</v>
      </c>
      <c r="G365" s="373"/>
      <c r="H365" s="150">
        <f t="shared" si="15"/>
        <v>0</v>
      </c>
      <c r="I365" s="363" t="s">
        <v>112</v>
      </c>
      <c r="J365" s="279"/>
      <c r="T365" s="65"/>
      <c r="U365" s="65"/>
      <c r="V365" s="65"/>
    </row>
    <row r="366" spans="1:22" ht="38.25">
      <c r="A366" s="194">
        <f t="shared" si="16"/>
        <v>118</v>
      </c>
      <c r="B366" s="313" t="s">
        <v>757</v>
      </c>
      <c r="C366" s="265" t="s">
        <v>791</v>
      </c>
      <c r="D366" s="163" t="s">
        <v>760</v>
      </c>
      <c r="E366" s="164" t="s">
        <v>778</v>
      </c>
      <c r="F366" s="154">
        <v>1</v>
      </c>
      <c r="G366" s="373"/>
      <c r="H366" s="165">
        <f t="shared" si="15"/>
        <v>0</v>
      </c>
      <c r="I366" s="363" t="s">
        <v>112</v>
      </c>
      <c r="J366" s="279"/>
      <c r="T366" s="65"/>
      <c r="U366" s="65"/>
      <c r="V366" s="65"/>
    </row>
    <row r="367" spans="1:22" ht="38.25">
      <c r="A367" s="194">
        <f t="shared" si="16"/>
        <v>119</v>
      </c>
      <c r="B367" s="313" t="s">
        <v>758</v>
      </c>
      <c r="C367" s="265" t="s">
        <v>791</v>
      </c>
      <c r="D367" s="163" t="s">
        <v>759</v>
      </c>
      <c r="E367" s="164" t="s">
        <v>778</v>
      </c>
      <c r="F367" s="154">
        <v>2</v>
      </c>
      <c r="G367" s="373"/>
      <c r="H367" s="165">
        <f t="shared" si="15"/>
        <v>0</v>
      </c>
      <c r="I367" s="363" t="s">
        <v>112</v>
      </c>
      <c r="J367" s="279"/>
      <c r="T367" s="65"/>
      <c r="U367" s="65"/>
      <c r="V367" s="65"/>
    </row>
    <row r="368" spans="1:22" ht="13.5" thickBot="1">
      <c r="A368" s="194">
        <f t="shared" si="16"/>
        <v>120</v>
      </c>
      <c r="B368" s="303" t="s">
        <v>347</v>
      </c>
      <c r="C368" s="195"/>
      <c r="D368" s="82" t="s">
        <v>426</v>
      </c>
      <c r="E368" s="208" t="s">
        <v>784</v>
      </c>
      <c r="F368" s="141">
        <f>+H362+H363+H366+H367</f>
        <v>0</v>
      </c>
      <c r="G368" s="383"/>
      <c r="H368" s="209">
        <f t="shared" si="15"/>
        <v>0</v>
      </c>
      <c r="I368" s="157" t="s">
        <v>112</v>
      </c>
      <c r="J368" s="279"/>
      <c r="T368" s="65"/>
      <c r="U368" s="65"/>
      <c r="V368" s="65"/>
    </row>
    <row r="369" spans="1:22" ht="13.5" thickBot="1">
      <c r="A369" s="194"/>
      <c r="B369" s="303"/>
      <c r="C369" s="195"/>
      <c r="D369" s="95" t="s">
        <v>777</v>
      </c>
      <c r="E369" s="96"/>
      <c r="F369" s="202"/>
      <c r="G369" s="376"/>
      <c r="H369" s="88">
        <f>SUBTOTAL(9,H361:H368)</f>
        <v>0</v>
      </c>
      <c r="T369" s="65"/>
      <c r="U369" s="65"/>
      <c r="V369" s="65"/>
    </row>
    <row r="370" spans="1:22" ht="12.75">
      <c r="A370" s="194"/>
      <c r="B370" s="303"/>
      <c r="C370" s="195"/>
      <c r="D370" s="203"/>
      <c r="E370" s="187"/>
      <c r="F370" s="135"/>
      <c r="G370" s="380"/>
      <c r="H370" s="188"/>
      <c r="T370" s="65"/>
      <c r="U370" s="65"/>
      <c r="V370" s="65"/>
    </row>
    <row r="371" spans="1:22" ht="31.5" customHeight="1">
      <c r="A371" s="194"/>
      <c r="B371" s="303"/>
      <c r="C371" s="237" t="s">
        <v>812</v>
      </c>
      <c r="D371" s="77" t="s">
        <v>397</v>
      </c>
      <c r="E371" s="77"/>
      <c r="F371" s="140"/>
      <c r="G371" s="372"/>
      <c r="H371" s="77"/>
      <c r="T371" s="65"/>
      <c r="U371" s="65"/>
      <c r="V371" s="65"/>
    </row>
    <row r="372" spans="1:22" ht="74.25" customHeight="1">
      <c r="A372" s="194"/>
      <c r="B372" s="303"/>
      <c r="C372" s="210"/>
      <c r="D372" s="396" t="s">
        <v>447</v>
      </c>
      <c r="E372" s="396"/>
      <c r="F372" s="396"/>
      <c r="G372" s="379"/>
      <c r="H372" s="110"/>
      <c r="T372" s="65"/>
      <c r="U372" s="65"/>
      <c r="V372" s="65"/>
    </row>
    <row r="373" spans="1:22" ht="16.5">
      <c r="A373" s="194">
        <f>A368+1</f>
        <v>121</v>
      </c>
      <c r="B373" s="303" t="s">
        <v>292</v>
      </c>
      <c r="C373" s="195" t="s">
        <v>479</v>
      </c>
      <c r="D373" s="82" t="s">
        <v>293</v>
      </c>
      <c r="E373" s="84" t="s">
        <v>532</v>
      </c>
      <c r="F373" s="141">
        <f>0.015*(3+4.2+13.2)</f>
        <v>0.306</v>
      </c>
      <c r="G373" s="369"/>
      <c r="H373" s="85">
        <f>F373*G373</f>
        <v>0</v>
      </c>
      <c r="I373" s="160" t="s">
        <v>112</v>
      </c>
      <c r="K373" s="104"/>
      <c r="L373" s="235" t="s">
        <v>431</v>
      </c>
      <c r="T373" s="65"/>
      <c r="U373" s="65"/>
      <c r="V373" s="65"/>
    </row>
    <row r="374" spans="1:22" ht="12.75">
      <c r="A374" s="194">
        <f>A373+1</f>
        <v>122</v>
      </c>
      <c r="B374" s="303" t="s">
        <v>480</v>
      </c>
      <c r="C374" s="195" t="s">
        <v>479</v>
      </c>
      <c r="D374" s="82" t="s">
        <v>478</v>
      </c>
      <c r="E374" s="84" t="s">
        <v>776</v>
      </c>
      <c r="F374" s="141">
        <f>+F373</f>
        <v>0.306</v>
      </c>
      <c r="G374" s="369"/>
      <c r="H374" s="85">
        <f>F374*G374</f>
        <v>0</v>
      </c>
      <c r="I374" s="160" t="s">
        <v>112</v>
      </c>
      <c r="J374" s="279"/>
      <c r="T374" s="65"/>
      <c r="U374" s="65"/>
      <c r="V374" s="65"/>
    </row>
    <row r="375" spans="1:22" ht="16.5">
      <c r="A375" s="194">
        <f>A374+1</f>
        <v>123</v>
      </c>
      <c r="B375" s="303">
        <v>28375704</v>
      </c>
      <c r="C375" s="195"/>
      <c r="D375" s="99" t="s">
        <v>795</v>
      </c>
      <c r="E375" s="197" t="s">
        <v>532</v>
      </c>
      <c r="F375" s="198">
        <f>0.03*13.2</f>
        <v>0.39599999999999996</v>
      </c>
      <c r="G375" s="374"/>
      <c r="H375" s="199">
        <f>F375*G375</f>
        <v>0</v>
      </c>
      <c r="I375" s="157" t="s">
        <v>112</v>
      </c>
      <c r="J375" s="287"/>
      <c r="K375" s="158"/>
      <c r="T375" s="65"/>
      <c r="U375" s="65"/>
      <c r="V375" s="65"/>
    </row>
    <row r="376" spans="1:22" ht="16.5">
      <c r="A376" s="194">
        <f aca="true" t="shared" si="17" ref="A376:A383">A375+1</f>
        <v>124</v>
      </c>
      <c r="B376" s="303">
        <v>28375704</v>
      </c>
      <c r="C376" s="195"/>
      <c r="D376" s="99" t="s">
        <v>142</v>
      </c>
      <c r="E376" s="197" t="s">
        <v>532</v>
      </c>
      <c r="F376" s="198">
        <f>0.04*(3+4.2)</f>
        <v>0.28800000000000003</v>
      </c>
      <c r="G376" s="374"/>
      <c r="H376" s="199">
        <f>F376*G376</f>
        <v>0</v>
      </c>
      <c r="I376" s="157" t="s">
        <v>112</v>
      </c>
      <c r="J376" s="287"/>
      <c r="K376" s="158"/>
      <c r="T376" s="65"/>
      <c r="U376" s="65"/>
      <c r="V376" s="65"/>
    </row>
    <row r="377" spans="1:22" ht="25.5">
      <c r="A377" s="194">
        <f t="shared" si="17"/>
        <v>125</v>
      </c>
      <c r="B377" s="303" t="s">
        <v>193</v>
      </c>
      <c r="C377" s="195" t="s">
        <v>479</v>
      </c>
      <c r="D377" s="82" t="s">
        <v>890</v>
      </c>
      <c r="E377" s="84" t="s">
        <v>776</v>
      </c>
      <c r="F377" s="141">
        <f>(4.2+3+13.2)*1.1</f>
        <v>22.44</v>
      </c>
      <c r="G377" s="369"/>
      <c r="H377" s="85">
        <f aca="true" t="shared" si="18" ref="H377:H389">F377*G377</f>
        <v>0</v>
      </c>
      <c r="I377" s="160" t="s">
        <v>112</v>
      </c>
      <c r="J377" s="279"/>
      <c r="T377" s="65"/>
      <c r="U377" s="65"/>
      <c r="V377" s="65"/>
    </row>
    <row r="378" spans="1:10" ht="12.75">
      <c r="A378" s="194">
        <f t="shared" si="17"/>
        <v>126</v>
      </c>
      <c r="B378" s="303" t="s">
        <v>801</v>
      </c>
      <c r="C378" s="195" t="s">
        <v>479</v>
      </c>
      <c r="D378" s="79" t="s">
        <v>802</v>
      </c>
      <c r="E378" s="84" t="s">
        <v>779</v>
      </c>
      <c r="F378" s="146">
        <f>17.1+7.3+8.6</f>
        <v>33</v>
      </c>
      <c r="G378" s="385"/>
      <c r="H378" s="85">
        <f t="shared" si="18"/>
        <v>0</v>
      </c>
      <c r="I378" s="160" t="s">
        <v>112</v>
      </c>
      <c r="J378" s="287"/>
    </row>
    <row r="379" spans="1:10" ht="12.75">
      <c r="A379" s="194">
        <f t="shared" si="17"/>
        <v>127</v>
      </c>
      <c r="B379" s="303" t="s">
        <v>799</v>
      </c>
      <c r="C379" s="195" t="s">
        <v>479</v>
      </c>
      <c r="D379" s="82" t="s">
        <v>800</v>
      </c>
      <c r="E379" s="84" t="s">
        <v>532</v>
      </c>
      <c r="F379" s="141">
        <f>20.4*0.05</f>
        <v>1.02</v>
      </c>
      <c r="G379" s="369"/>
      <c r="H379" s="85">
        <f t="shared" si="18"/>
        <v>0</v>
      </c>
      <c r="I379" s="160" t="s">
        <v>112</v>
      </c>
      <c r="J379" s="287"/>
    </row>
    <row r="380" spans="1:11" ht="25.5">
      <c r="A380" s="194">
        <f t="shared" si="17"/>
        <v>128</v>
      </c>
      <c r="B380" s="303" t="s">
        <v>796</v>
      </c>
      <c r="C380" s="195" t="s">
        <v>479</v>
      </c>
      <c r="D380" s="82" t="s">
        <v>797</v>
      </c>
      <c r="E380" s="84" t="s">
        <v>780</v>
      </c>
      <c r="F380" s="146">
        <f>+(20.4*1.15)*1.999/1000</f>
        <v>0.046896539999999994</v>
      </c>
      <c r="G380" s="385"/>
      <c r="H380" s="85">
        <f t="shared" si="18"/>
        <v>0</v>
      </c>
      <c r="I380" s="160" t="s">
        <v>112</v>
      </c>
      <c r="J380" s="287"/>
      <c r="K380" t="s">
        <v>798</v>
      </c>
    </row>
    <row r="381" spans="1:11" s="22" customFormat="1" ht="12.75">
      <c r="A381" s="194">
        <f t="shared" si="17"/>
        <v>129</v>
      </c>
      <c r="B381" s="303" t="s">
        <v>188</v>
      </c>
      <c r="C381" s="195" t="s">
        <v>321</v>
      </c>
      <c r="D381" s="82" t="s">
        <v>862</v>
      </c>
      <c r="E381" s="84" t="s">
        <v>776</v>
      </c>
      <c r="F381" s="137">
        <v>20.4</v>
      </c>
      <c r="G381" s="369"/>
      <c r="H381" s="81">
        <f t="shared" si="18"/>
        <v>0</v>
      </c>
      <c r="I381" s="218" t="s">
        <v>112</v>
      </c>
      <c r="J381" s="279"/>
      <c r="K381" s="230"/>
    </row>
    <row r="382" spans="1:22" ht="25.5">
      <c r="A382" s="194">
        <f t="shared" si="17"/>
        <v>130</v>
      </c>
      <c r="B382" s="303" t="s">
        <v>330</v>
      </c>
      <c r="C382" s="195" t="s">
        <v>709</v>
      </c>
      <c r="D382" s="82" t="s">
        <v>201</v>
      </c>
      <c r="E382" s="84" t="s">
        <v>776</v>
      </c>
      <c r="F382" s="141">
        <f>3+4.2+0.15*(7.3+7.8)</f>
        <v>9.465</v>
      </c>
      <c r="G382" s="369"/>
      <c r="H382" s="85">
        <f t="shared" si="18"/>
        <v>0</v>
      </c>
      <c r="I382" s="157" t="s">
        <v>112</v>
      </c>
      <c r="J382" s="279"/>
      <c r="T382" s="65"/>
      <c r="U382" s="65"/>
      <c r="V382" s="65"/>
    </row>
    <row r="383" spans="1:22" ht="36.75" customHeight="1">
      <c r="A383" s="194">
        <f t="shared" si="17"/>
        <v>131</v>
      </c>
      <c r="B383" s="303" t="s">
        <v>7</v>
      </c>
      <c r="C383" s="236" t="s">
        <v>708</v>
      </c>
      <c r="D383" s="196" t="s">
        <v>300</v>
      </c>
      <c r="E383" s="197" t="s">
        <v>794</v>
      </c>
      <c r="F383" s="198">
        <f>1.5*F382</f>
        <v>14.1975</v>
      </c>
      <c r="G383" s="374"/>
      <c r="H383" s="199">
        <f t="shared" si="18"/>
        <v>0</v>
      </c>
      <c r="I383" s="157" t="s">
        <v>112</v>
      </c>
      <c r="J383" s="279"/>
      <c r="T383" s="65"/>
      <c r="U383" s="65"/>
      <c r="V383" s="65"/>
    </row>
    <row r="384" spans="1:22" ht="12.75">
      <c r="A384" s="194">
        <f aca="true" t="shared" si="19" ref="A384:A389">A383+1</f>
        <v>132</v>
      </c>
      <c r="B384" s="303" t="s">
        <v>318</v>
      </c>
      <c r="C384" s="195" t="s">
        <v>709</v>
      </c>
      <c r="D384" s="82" t="s">
        <v>200</v>
      </c>
      <c r="E384" s="84" t="s">
        <v>779</v>
      </c>
      <c r="F384" s="141">
        <f>F385</f>
        <v>13.5</v>
      </c>
      <c r="G384" s="369"/>
      <c r="H384" s="85">
        <f t="shared" si="18"/>
        <v>0</v>
      </c>
      <c r="I384" s="160" t="s">
        <v>112</v>
      </c>
      <c r="J384" s="279"/>
      <c r="T384" s="65"/>
      <c r="U384" s="65"/>
      <c r="V384" s="65"/>
    </row>
    <row r="385" spans="1:22" ht="25.5">
      <c r="A385" s="194">
        <f t="shared" si="19"/>
        <v>133</v>
      </c>
      <c r="B385" s="303">
        <v>28355360</v>
      </c>
      <c r="C385" s="236" t="s">
        <v>708</v>
      </c>
      <c r="D385" s="196" t="s">
        <v>120</v>
      </c>
      <c r="E385" s="197" t="s">
        <v>779</v>
      </c>
      <c r="F385" s="198">
        <f>7.3+7.8-2*0.8</f>
        <v>13.5</v>
      </c>
      <c r="G385" s="374"/>
      <c r="H385" s="199">
        <f t="shared" si="18"/>
        <v>0</v>
      </c>
      <c r="I385" s="157" t="s">
        <v>112</v>
      </c>
      <c r="J385" s="279"/>
      <c r="T385" s="65"/>
      <c r="U385" s="65"/>
      <c r="V385" s="65"/>
    </row>
    <row r="386" spans="1:22" ht="25.5">
      <c r="A386" s="194">
        <f t="shared" si="19"/>
        <v>134</v>
      </c>
      <c r="B386" s="303" t="s">
        <v>863</v>
      </c>
      <c r="C386" s="195" t="s">
        <v>709</v>
      </c>
      <c r="D386" s="82" t="s">
        <v>149</v>
      </c>
      <c r="E386" s="84" t="s">
        <v>776</v>
      </c>
      <c r="F386" s="141">
        <f>3+4.2-0.7*1.6</f>
        <v>6.08</v>
      </c>
      <c r="G386" s="369"/>
      <c r="H386" s="85">
        <f>F386*G386</f>
        <v>0</v>
      </c>
      <c r="I386" s="157" t="s">
        <v>112</v>
      </c>
      <c r="J386" s="278"/>
      <c r="K386" s="104"/>
      <c r="T386" s="65"/>
      <c r="U386" s="65"/>
      <c r="V386" s="65"/>
    </row>
    <row r="387" spans="1:22" ht="25.5">
      <c r="A387" s="194">
        <f t="shared" si="19"/>
        <v>135</v>
      </c>
      <c r="B387" s="303" t="s">
        <v>466</v>
      </c>
      <c r="C387" s="236" t="s">
        <v>708</v>
      </c>
      <c r="D387" s="196" t="s">
        <v>710</v>
      </c>
      <c r="E387" s="197" t="s">
        <v>776</v>
      </c>
      <c r="F387" s="198">
        <f>1.1*F386</f>
        <v>6.688000000000001</v>
      </c>
      <c r="G387" s="374"/>
      <c r="H387" s="199">
        <f>F387*G387</f>
        <v>0</v>
      </c>
      <c r="I387" s="157" t="s">
        <v>112</v>
      </c>
      <c r="J387" s="278"/>
      <c r="K387" s="121"/>
      <c r="L387" t="s">
        <v>219</v>
      </c>
      <c r="T387" s="65"/>
      <c r="U387" s="65"/>
      <c r="V387" s="65"/>
    </row>
    <row r="388" spans="1:22" ht="25.5">
      <c r="A388" s="194">
        <f t="shared" si="19"/>
        <v>136</v>
      </c>
      <c r="B388" s="303" t="s">
        <v>416</v>
      </c>
      <c r="C388" s="195" t="s">
        <v>806</v>
      </c>
      <c r="D388" s="82" t="s">
        <v>864</v>
      </c>
      <c r="E388" s="84" t="s">
        <v>775</v>
      </c>
      <c r="F388" s="141">
        <v>1</v>
      </c>
      <c r="G388" s="369"/>
      <c r="H388" s="85">
        <f t="shared" si="18"/>
        <v>0</v>
      </c>
      <c r="I388" s="157" t="s">
        <v>112</v>
      </c>
      <c r="J388" s="279"/>
      <c r="T388" s="65"/>
      <c r="U388" s="65"/>
      <c r="V388" s="65"/>
    </row>
    <row r="389" spans="1:22" ht="13.5" thickBot="1">
      <c r="A389" s="194">
        <f t="shared" si="19"/>
        <v>137</v>
      </c>
      <c r="B389" s="303" t="s">
        <v>347</v>
      </c>
      <c r="C389" s="195"/>
      <c r="D389" s="82" t="s">
        <v>426</v>
      </c>
      <c r="E389" s="208" t="s">
        <v>784</v>
      </c>
      <c r="F389" s="141">
        <f>+H373+H375+H376+H377+H379+H380+H381+H383+H385+H387+H388</f>
        <v>0</v>
      </c>
      <c r="G389" s="383"/>
      <c r="H389" s="209">
        <f t="shared" si="18"/>
        <v>0</v>
      </c>
      <c r="I389" s="157" t="s">
        <v>112</v>
      </c>
      <c r="J389" s="279"/>
      <c r="T389" s="65"/>
      <c r="U389" s="65"/>
      <c r="V389" s="65"/>
    </row>
    <row r="390" spans="1:22" ht="13.5" thickBot="1">
      <c r="A390" s="194"/>
      <c r="B390" s="303"/>
      <c r="C390" s="195"/>
      <c r="D390" s="95" t="s">
        <v>777</v>
      </c>
      <c r="E390" s="96"/>
      <c r="F390" s="202"/>
      <c r="G390" s="376"/>
      <c r="H390" s="88">
        <f>SUBTOTAL(9,H373:H389)</f>
        <v>0</v>
      </c>
      <c r="T390" s="65"/>
      <c r="U390" s="65"/>
      <c r="V390" s="65"/>
    </row>
    <row r="391" spans="1:22" ht="12.75">
      <c r="A391" s="194"/>
      <c r="B391" s="303"/>
      <c r="C391" s="195"/>
      <c r="D391" s="203"/>
      <c r="E391" s="187"/>
      <c r="F391" s="135"/>
      <c r="G391" s="380"/>
      <c r="H391" s="188"/>
      <c r="T391" s="65"/>
      <c r="U391" s="65"/>
      <c r="V391" s="65"/>
    </row>
    <row r="392" spans="1:22" ht="16.5">
      <c r="A392" s="194"/>
      <c r="B392" s="303"/>
      <c r="C392" s="237" t="s">
        <v>813</v>
      </c>
      <c r="D392" s="77" t="s">
        <v>527</v>
      </c>
      <c r="E392" s="77"/>
      <c r="F392" s="140"/>
      <c r="G392" s="372"/>
      <c r="H392" s="77"/>
      <c r="R392" s="113"/>
      <c r="T392" s="65"/>
      <c r="U392" s="65"/>
      <c r="V392" s="65"/>
    </row>
    <row r="393" spans="1:22" ht="70.5" customHeight="1">
      <c r="A393" s="194"/>
      <c r="B393" s="303"/>
      <c r="C393" s="210"/>
      <c r="D393" s="401" t="s">
        <v>398</v>
      </c>
      <c r="E393" s="401"/>
      <c r="F393" s="401"/>
      <c r="G393" s="386"/>
      <c r="H393" s="211"/>
      <c r="T393" s="65"/>
      <c r="U393" s="65"/>
      <c r="V393" s="65"/>
    </row>
    <row r="394" spans="1:22" ht="16.5">
      <c r="A394" s="224">
        <f>A389+1</f>
        <v>138</v>
      </c>
      <c r="B394" s="303" t="s">
        <v>71</v>
      </c>
      <c r="C394" s="195" t="s">
        <v>77</v>
      </c>
      <c r="D394" s="82" t="s">
        <v>72</v>
      </c>
      <c r="E394" s="82" t="s">
        <v>776</v>
      </c>
      <c r="F394" s="141">
        <v>22.6</v>
      </c>
      <c r="G394" s="369"/>
      <c r="H394" s="85">
        <f aca="true" t="shared" si="20" ref="H394:H413">F394*G394</f>
        <v>0</v>
      </c>
      <c r="I394" s="157" t="s">
        <v>112</v>
      </c>
      <c r="J394" s="278"/>
      <c r="K394" s="104"/>
      <c r="L394" s="114" t="s">
        <v>73</v>
      </c>
      <c r="T394" s="65"/>
      <c r="U394" s="65"/>
      <c r="V394" s="65"/>
    </row>
    <row r="395" spans="1:22" ht="25.5">
      <c r="A395" s="224">
        <f aca="true" t="shared" si="21" ref="A395:A413">A394+1</f>
        <v>139</v>
      </c>
      <c r="B395" s="303" t="s">
        <v>12</v>
      </c>
      <c r="C395" s="236" t="s">
        <v>77</v>
      </c>
      <c r="D395" s="196" t="s">
        <v>74</v>
      </c>
      <c r="E395" s="197" t="s">
        <v>776</v>
      </c>
      <c r="F395" s="198">
        <f>1.1*F394</f>
        <v>24.860000000000003</v>
      </c>
      <c r="G395" s="374"/>
      <c r="H395" s="199">
        <f t="shared" si="20"/>
        <v>0</v>
      </c>
      <c r="I395" s="157" t="s">
        <v>112</v>
      </c>
      <c r="J395" s="278"/>
      <c r="K395" s="104"/>
      <c r="L395" s="158" t="s">
        <v>75</v>
      </c>
      <c r="T395" s="65"/>
      <c r="U395" s="65"/>
      <c r="V395" s="65"/>
    </row>
    <row r="396" spans="1:22" ht="16.5">
      <c r="A396" s="224">
        <f t="shared" si="21"/>
        <v>140</v>
      </c>
      <c r="B396" s="311" t="s">
        <v>76</v>
      </c>
      <c r="C396" s="195" t="s">
        <v>77</v>
      </c>
      <c r="D396" s="152" t="s">
        <v>78</v>
      </c>
      <c r="E396" s="149" t="s">
        <v>776</v>
      </c>
      <c r="F396" s="145">
        <f>+F394</f>
        <v>22.6</v>
      </c>
      <c r="G396" s="373"/>
      <c r="H396" s="150">
        <f>F396*G396</f>
        <v>0</v>
      </c>
      <c r="I396" s="365" t="s">
        <v>112</v>
      </c>
      <c r="J396" s="278"/>
      <c r="K396" s="104"/>
      <c r="L396" s="158"/>
      <c r="T396" s="65"/>
      <c r="U396" s="65"/>
      <c r="V396" s="65"/>
    </row>
    <row r="397" spans="1:22" ht="16.5">
      <c r="A397" s="224">
        <f t="shared" si="21"/>
        <v>141</v>
      </c>
      <c r="B397" s="311" t="s">
        <v>712</v>
      </c>
      <c r="C397" s="195" t="s">
        <v>468</v>
      </c>
      <c r="D397" s="152" t="s">
        <v>713</v>
      </c>
      <c r="E397" s="149" t="s">
        <v>776</v>
      </c>
      <c r="F397" s="145">
        <f>10.5+20.3</f>
        <v>30.8</v>
      </c>
      <c r="G397" s="373"/>
      <c r="H397" s="150">
        <f>F397*G397</f>
        <v>0</v>
      </c>
      <c r="I397" s="365" t="s">
        <v>112</v>
      </c>
      <c r="J397" s="278"/>
      <c r="K397" s="104"/>
      <c r="L397" s="158"/>
      <c r="T397" s="65"/>
      <c r="U397" s="65"/>
      <c r="V397" s="65"/>
    </row>
    <row r="398" spans="1:22" ht="16.5">
      <c r="A398" s="224">
        <f t="shared" si="21"/>
        <v>142</v>
      </c>
      <c r="B398" s="311" t="s">
        <v>714</v>
      </c>
      <c r="C398" s="195" t="s">
        <v>468</v>
      </c>
      <c r="D398" s="152" t="s">
        <v>715</v>
      </c>
      <c r="E398" s="149" t="s">
        <v>775</v>
      </c>
      <c r="F398" s="145">
        <f>F397*0.2</f>
        <v>6.16</v>
      </c>
      <c r="G398" s="373"/>
      <c r="H398" s="150">
        <f>F398*G398</f>
        <v>0</v>
      </c>
      <c r="I398" s="365" t="s">
        <v>112</v>
      </c>
      <c r="K398" s="158"/>
      <c r="T398" s="65"/>
      <c r="U398" s="65"/>
      <c r="V398" s="65"/>
    </row>
    <row r="399" spans="1:22" ht="25.5">
      <c r="A399" s="224">
        <f t="shared" si="21"/>
        <v>143</v>
      </c>
      <c r="B399" s="311" t="s">
        <v>820</v>
      </c>
      <c r="C399" s="195" t="s">
        <v>468</v>
      </c>
      <c r="D399" s="269" t="s">
        <v>819</v>
      </c>
      <c r="E399" s="149" t="s">
        <v>776</v>
      </c>
      <c r="F399" s="145">
        <f>0.05*F397</f>
        <v>1.54</v>
      </c>
      <c r="G399" s="373"/>
      <c r="H399" s="150">
        <f>F399*G399</f>
        <v>0</v>
      </c>
      <c r="I399" s="365" t="s">
        <v>112</v>
      </c>
      <c r="K399" s="158"/>
      <c r="T399" s="65"/>
      <c r="U399" s="65"/>
      <c r="V399" s="65"/>
    </row>
    <row r="400" spans="1:22" ht="16.5">
      <c r="A400" s="224">
        <f t="shared" si="21"/>
        <v>144</v>
      </c>
      <c r="B400" s="311" t="s">
        <v>228</v>
      </c>
      <c r="C400" s="195" t="s">
        <v>469</v>
      </c>
      <c r="D400" s="152" t="s">
        <v>407</v>
      </c>
      <c r="E400" s="149" t="s">
        <v>776</v>
      </c>
      <c r="F400" s="145">
        <f>+F394+3*F397</f>
        <v>115</v>
      </c>
      <c r="G400" s="373"/>
      <c r="H400" s="150">
        <f t="shared" si="20"/>
        <v>0</v>
      </c>
      <c r="I400" s="365" t="s">
        <v>112</v>
      </c>
      <c r="K400" s="158"/>
      <c r="T400" s="65"/>
      <c r="U400" s="65"/>
      <c r="V400" s="65"/>
    </row>
    <row r="401" spans="1:22" ht="25.5">
      <c r="A401" s="224">
        <f t="shared" si="21"/>
        <v>145</v>
      </c>
      <c r="B401" s="311" t="s">
        <v>13</v>
      </c>
      <c r="C401" s="195" t="s">
        <v>469</v>
      </c>
      <c r="D401" s="152" t="s">
        <v>400</v>
      </c>
      <c r="E401" s="149" t="s">
        <v>776</v>
      </c>
      <c r="F401" s="145">
        <f>+F394+F397</f>
        <v>53.400000000000006</v>
      </c>
      <c r="G401" s="373"/>
      <c r="H401" s="150">
        <f t="shared" si="20"/>
        <v>0</v>
      </c>
      <c r="I401" s="365" t="s">
        <v>112</v>
      </c>
      <c r="K401" s="158"/>
      <c r="T401" s="65"/>
      <c r="U401" s="65"/>
      <c r="V401" s="65"/>
    </row>
    <row r="402" spans="1:22" ht="25.5">
      <c r="A402" s="194">
        <f t="shared" si="21"/>
        <v>146</v>
      </c>
      <c r="B402" s="311" t="s">
        <v>14</v>
      </c>
      <c r="C402" s="195" t="s">
        <v>469</v>
      </c>
      <c r="D402" s="152" t="s">
        <v>79</v>
      </c>
      <c r="E402" s="149" t="s">
        <v>776</v>
      </c>
      <c r="F402" s="145">
        <f>+F394+F397</f>
        <v>53.400000000000006</v>
      </c>
      <c r="G402" s="373"/>
      <c r="H402" s="150">
        <f t="shared" si="20"/>
        <v>0</v>
      </c>
      <c r="I402" s="365" t="s">
        <v>112</v>
      </c>
      <c r="K402" s="158"/>
      <c r="T402" s="65"/>
      <c r="U402" s="65"/>
      <c r="V402" s="65"/>
    </row>
    <row r="403" spans="1:22" ht="12.75">
      <c r="A403" s="194">
        <f t="shared" si="21"/>
        <v>147</v>
      </c>
      <c r="B403" s="303" t="s">
        <v>190</v>
      </c>
      <c r="C403" s="195" t="s">
        <v>111</v>
      </c>
      <c r="D403" s="152" t="s">
        <v>191</v>
      </c>
      <c r="E403" s="84" t="s">
        <v>779</v>
      </c>
      <c r="F403" s="141">
        <f>20.6+13.5+19.1-4*0.9</f>
        <v>49.6</v>
      </c>
      <c r="G403" s="367"/>
      <c r="H403" s="85">
        <f t="shared" si="20"/>
        <v>0</v>
      </c>
      <c r="I403" s="161" t="s">
        <v>112</v>
      </c>
      <c r="K403" s="155"/>
      <c r="T403" s="65"/>
      <c r="U403" s="65"/>
      <c r="V403" s="65"/>
    </row>
    <row r="404" spans="1:22" ht="16.5">
      <c r="A404" s="224">
        <f t="shared" si="21"/>
        <v>148</v>
      </c>
      <c r="B404" s="303" t="s">
        <v>417</v>
      </c>
      <c r="C404" s="236" t="s">
        <v>110</v>
      </c>
      <c r="D404" s="196" t="s">
        <v>598</v>
      </c>
      <c r="E404" s="197" t="s">
        <v>779</v>
      </c>
      <c r="F404" s="198">
        <f>1.1*F403</f>
        <v>54.56000000000001</v>
      </c>
      <c r="G404" s="387"/>
      <c r="H404" s="199">
        <f t="shared" si="20"/>
        <v>0</v>
      </c>
      <c r="I404" s="161" t="s">
        <v>112</v>
      </c>
      <c r="K404" s="155"/>
      <c r="L404" s="158" t="s">
        <v>599</v>
      </c>
      <c r="T404" s="65"/>
      <c r="U404" s="65"/>
      <c r="V404" s="65"/>
    </row>
    <row r="405" spans="1:11" s="22" customFormat="1" ht="12.75">
      <c r="A405" s="224">
        <f t="shared" si="21"/>
        <v>149</v>
      </c>
      <c r="B405" s="303" t="s">
        <v>188</v>
      </c>
      <c r="C405" s="78" t="s">
        <v>716</v>
      </c>
      <c r="D405" s="82" t="s">
        <v>189</v>
      </c>
      <c r="E405" s="84" t="s">
        <v>776</v>
      </c>
      <c r="F405" s="137">
        <f>+F406</f>
        <v>20.7</v>
      </c>
      <c r="G405" s="369"/>
      <c r="H405" s="81">
        <f t="shared" si="20"/>
        <v>0</v>
      </c>
      <c r="I405" s="218" t="s">
        <v>112</v>
      </c>
      <c r="J405" s="279"/>
      <c r="K405" s="230"/>
    </row>
    <row r="406" spans="1:10" s="65" customFormat="1" ht="25.5">
      <c r="A406" s="224">
        <f t="shared" si="21"/>
        <v>150</v>
      </c>
      <c r="B406" s="303" t="s">
        <v>278</v>
      </c>
      <c r="C406" s="195" t="s">
        <v>279</v>
      </c>
      <c r="D406" s="82" t="s">
        <v>481</v>
      </c>
      <c r="E406" s="82" t="s">
        <v>776</v>
      </c>
      <c r="F406" s="141">
        <f>9.6+11.1</f>
        <v>20.7</v>
      </c>
      <c r="G406" s="369"/>
      <c r="H406" s="85">
        <f>F406*G406</f>
        <v>0</v>
      </c>
      <c r="I406" s="160" t="s">
        <v>112</v>
      </c>
      <c r="J406" s="279"/>
    </row>
    <row r="407" spans="1:10" s="65" customFormat="1" ht="12.75">
      <c r="A407" s="224">
        <f t="shared" si="21"/>
        <v>151</v>
      </c>
      <c r="B407" s="303" t="s">
        <v>464</v>
      </c>
      <c r="C407" s="195" t="s">
        <v>80</v>
      </c>
      <c r="D407" s="152" t="s">
        <v>465</v>
      </c>
      <c r="E407" s="149" t="s">
        <v>776</v>
      </c>
      <c r="F407" s="141">
        <v>11.1</v>
      </c>
      <c r="G407" s="373"/>
      <c r="H407" s="85">
        <f t="shared" si="20"/>
        <v>0</v>
      </c>
      <c r="I407" s="365" t="s">
        <v>112</v>
      </c>
      <c r="J407" s="279"/>
    </row>
    <row r="408" spans="1:10" s="65" customFormat="1" ht="25.5">
      <c r="A408" s="224">
        <f t="shared" si="21"/>
        <v>152</v>
      </c>
      <c r="B408" s="303" t="s">
        <v>762</v>
      </c>
      <c r="C408" s="236" t="s">
        <v>80</v>
      </c>
      <c r="D408" s="196" t="s">
        <v>463</v>
      </c>
      <c r="E408" s="197" t="s">
        <v>776</v>
      </c>
      <c r="F408" s="198">
        <f>(11.1+(18.7-1.94*0.1))*1.1</f>
        <v>32.5666</v>
      </c>
      <c r="G408" s="387"/>
      <c r="H408" s="199">
        <f t="shared" si="20"/>
        <v>0</v>
      </c>
      <c r="I408" s="161" t="s">
        <v>112</v>
      </c>
      <c r="J408" s="279"/>
    </row>
    <row r="409" spans="1:10" s="65" customFormat="1" ht="12.75">
      <c r="A409" s="224">
        <f t="shared" si="21"/>
        <v>153</v>
      </c>
      <c r="B409" s="303" t="s">
        <v>434</v>
      </c>
      <c r="C409" s="195" t="s">
        <v>80</v>
      </c>
      <c r="D409" s="269" t="s">
        <v>435</v>
      </c>
      <c r="E409" s="84" t="s">
        <v>776</v>
      </c>
      <c r="F409" s="145">
        <f>+F407</f>
        <v>11.1</v>
      </c>
      <c r="G409" s="367"/>
      <c r="H409" s="85">
        <f t="shared" si="20"/>
        <v>0</v>
      </c>
      <c r="I409" s="161" t="s">
        <v>112</v>
      </c>
      <c r="J409" s="279"/>
    </row>
    <row r="410" spans="1:10" s="65" customFormat="1" ht="12.75">
      <c r="A410" s="224">
        <f t="shared" si="21"/>
        <v>154</v>
      </c>
      <c r="B410" s="303" t="s">
        <v>763</v>
      </c>
      <c r="C410" s="195" t="s">
        <v>449</v>
      </c>
      <c r="D410" s="152" t="s">
        <v>764</v>
      </c>
      <c r="E410" s="84" t="s">
        <v>779</v>
      </c>
      <c r="F410" s="145">
        <f>19.4-1.94-2*0.8-2*0.9</f>
        <v>14.059999999999997</v>
      </c>
      <c r="G410" s="367"/>
      <c r="H410" s="85">
        <f t="shared" si="20"/>
        <v>0</v>
      </c>
      <c r="I410" s="161" t="s">
        <v>112</v>
      </c>
      <c r="J410" s="279"/>
    </row>
    <row r="411" spans="1:22" ht="12.75">
      <c r="A411" s="224">
        <f t="shared" si="21"/>
        <v>155</v>
      </c>
      <c r="B411" s="303" t="s">
        <v>291</v>
      </c>
      <c r="C411" s="195" t="s">
        <v>332</v>
      </c>
      <c r="D411" s="152" t="s">
        <v>331</v>
      </c>
      <c r="E411" s="84" t="s">
        <v>779</v>
      </c>
      <c r="F411" s="137">
        <f>+F412</f>
        <v>3.8000000000000003</v>
      </c>
      <c r="G411" s="369"/>
      <c r="H411" s="85">
        <f t="shared" si="20"/>
        <v>0</v>
      </c>
      <c r="I411" s="157" t="s">
        <v>112</v>
      </c>
      <c r="J411" s="279"/>
      <c r="T411" s="65"/>
      <c r="U411" s="65"/>
      <c r="V411" s="65"/>
    </row>
    <row r="412" spans="1:22" ht="25.5">
      <c r="A412" s="224">
        <f t="shared" si="21"/>
        <v>156</v>
      </c>
      <c r="B412" s="303" t="s">
        <v>418</v>
      </c>
      <c r="C412" s="236" t="s">
        <v>430</v>
      </c>
      <c r="D412" s="196" t="s">
        <v>711</v>
      </c>
      <c r="E412" s="197" t="s">
        <v>779</v>
      </c>
      <c r="F412" s="154">
        <f>3*0.8+2*0.7</f>
        <v>3.8000000000000003</v>
      </c>
      <c r="G412" s="387"/>
      <c r="H412" s="199">
        <f t="shared" si="20"/>
        <v>0</v>
      </c>
      <c r="I412" s="161" t="s">
        <v>112</v>
      </c>
      <c r="K412" s="155"/>
      <c r="L412" s="158" t="s">
        <v>569</v>
      </c>
      <c r="T412" s="65"/>
      <c r="U412" s="65"/>
      <c r="V412" s="65"/>
    </row>
    <row r="413" spans="1:22" ht="13.5" thickBot="1">
      <c r="A413" s="224">
        <f t="shared" si="21"/>
        <v>157</v>
      </c>
      <c r="B413" s="303" t="s">
        <v>347</v>
      </c>
      <c r="C413" s="195"/>
      <c r="D413" s="82" t="s">
        <v>426</v>
      </c>
      <c r="E413" s="208" t="s">
        <v>784</v>
      </c>
      <c r="F413" s="141">
        <f>+H395+H398+H401+H402+H404+H406+H408+H412</f>
        <v>0</v>
      </c>
      <c r="G413" s="383"/>
      <c r="H413" s="209">
        <f t="shared" si="20"/>
        <v>0</v>
      </c>
      <c r="I413" s="157" t="s">
        <v>112</v>
      </c>
      <c r="J413" s="279"/>
      <c r="T413" s="65"/>
      <c r="U413" s="65"/>
      <c r="V413" s="65"/>
    </row>
    <row r="414" spans="1:22" ht="13.5" thickBot="1">
      <c r="A414" s="207"/>
      <c r="B414" s="307"/>
      <c r="C414" s="195"/>
      <c r="D414" s="95" t="s">
        <v>777</v>
      </c>
      <c r="E414" s="96"/>
      <c r="F414" s="202"/>
      <c r="G414" s="376"/>
      <c r="H414" s="88">
        <f>SUM(H394:H413)</f>
        <v>0</v>
      </c>
      <c r="T414" s="65"/>
      <c r="U414" s="65"/>
      <c r="V414" s="65"/>
    </row>
    <row r="415" spans="1:22" ht="12.75">
      <c r="A415" s="194"/>
      <c r="B415" s="303"/>
      <c r="C415" s="195"/>
      <c r="D415" s="203"/>
      <c r="E415" s="187"/>
      <c r="F415" s="135"/>
      <c r="G415" s="380"/>
      <c r="H415" s="188"/>
      <c r="T415" s="65"/>
      <c r="U415" s="65"/>
      <c r="V415" s="65"/>
    </row>
    <row r="416" spans="1:22" ht="16.5">
      <c r="A416" s="194"/>
      <c r="B416" s="303"/>
      <c r="C416" s="237" t="s">
        <v>202</v>
      </c>
      <c r="D416" s="77" t="s">
        <v>203</v>
      </c>
      <c r="E416" s="77"/>
      <c r="F416" s="140"/>
      <c r="G416" s="372"/>
      <c r="H416" s="77"/>
      <c r="T416" s="65"/>
      <c r="U416" s="65"/>
      <c r="V416" s="65"/>
    </row>
    <row r="417" spans="1:22" ht="12.75">
      <c r="A417" s="194">
        <f>A413+1</f>
        <v>158</v>
      </c>
      <c r="B417" s="303" t="s">
        <v>301</v>
      </c>
      <c r="C417" s="195"/>
      <c r="D417" s="82" t="s">
        <v>452</v>
      </c>
      <c r="E417" s="84" t="s">
        <v>778</v>
      </c>
      <c r="F417" s="141">
        <v>5</v>
      </c>
      <c r="G417" s="369"/>
      <c r="H417" s="85">
        <f>F417*G417</f>
        <v>0</v>
      </c>
      <c r="I417" s="157" t="s">
        <v>112</v>
      </c>
      <c r="J417" s="279"/>
      <c r="Q417" s="171">
        <v>0.00156</v>
      </c>
      <c r="R417" s="151"/>
      <c r="T417" s="65"/>
      <c r="U417" s="65"/>
      <c r="V417" s="65"/>
    </row>
    <row r="418" spans="1:22" ht="12.75">
      <c r="A418" s="194">
        <f>A417+1</f>
        <v>159</v>
      </c>
      <c r="B418" s="303" t="s">
        <v>727</v>
      </c>
      <c r="C418" s="195"/>
      <c r="D418" s="82" t="s">
        <v>728</v>
      </c>
      <c r="E418" s="84" t="s">
        <v>775</v>
      </c>
      <c r="F418" s="141">
        <v>1</v>
      </c>
      <c r="G418" s="369"/>
      <c r="H418" s="85">
        <f aca="true" t="shared" si="22" ref="H418:H429">F418*G418</f>
        <v>0</v>
      </c>
      <c r="I418" s="157" t="s">
        <v>112</v>
      </c>
      <c r="J418" s="279"/>
      <c r="Q418" s="171"/>
      <c r="R418" s="151"/>
      <c r="T418" s="65"/>
      <c r="U418" s="65"/>
      <c r="V418" s="65"/>
    </row>
    <row r="419" spans="1:22" ht="12.75">
      <c r="A419" s="194">
        <f>A418+1</f>
        <v>160</v>
      </c>
      <c r="B419" s="303" t="s">
        <v>289</v>
      </c>
      <c r="C419" s="195"/>
      <c r="D419" s="82" t="s">
        <v>535</v>
      </c>
      <c r="E419" s="84" t="s">
        <v>775</v>
      </c>
      <c r="F419" s="141">
        <v>1</v>
      </c>
      <c r="G419" s="369"/>
      <c r="H419" s="85">
        <f t="shared" si="22"/>
        <v>0</v>
      </c>
      <c r="I419" s="157" t="s">
        <v>112</v>
      </c>
      <c r="J419" s="279"/>
      <c r="Q419" s="171">
        <f>0.002*F419</f>
        <v>0.002</v>
      </c>
      <c r="R419" s="151" t="s">
        <v>780</v>
      </c>
      <c r="T419" s="65"/>
      <c r="U419" s="65"/>
      <c r="V419" s="65"/>
    </row>
    <row r="420" spans="1:22" ht="12.75">
      <c r="A420" s="194">
        <f>A419+1</f>
        <v>161</v>
      </c>
      <c r="B420" s="303" t="s">
        <v>600</v>
      </c>
      <c r="C420" s="195"/>
      <c r="D420" s="82" t="s">
        <v>15</v>
      </c>
      <c r="E420" s="84" t="s">
        <v>775</v>
      </c>
      <c r="F420" s="141">
        <v>1</v>
      </c>
      <c r="G420" s="369"/>
      <c r="H420" s="85">
        <f t="shared" si="22"/>
        <v>0</v>
      </c>
      <c r="I420" s="157" t="s">
        <v>112</v>
      </c>
      <c r="J420" s="279"/>
      <c r="Q420" s="171">
        <f>0.01933*F420</f>
        <v>0.01933</v>
      </c>
      <c r="R420" s="151"/>
      <c r="T420" s="65"/>
      <c r="U420" s="65"/>
      <c r="V420" s="65"/>
    </row>
    <row r="421" spans="1:22" ht="12.75">
      <c r="A421" s="194">
        <f>A420+1</f>
        <v>162</v>
      </c>
      <c r="B421" s="303" t="s">
        <v>765</v>
      </c>
      <c r="C421" s="195"/>
      <c r="D421" s="82" t="s">
        <v>717</v>
      </c>
      <c r="E421" s="84" t="s">
        <v>775</v>
      </c>
      <c r="F421" s="141">
        <v>1</v>
      </c>
      <c r="G421" s="369"/>
      <c r="H421" s="85">
        <f>F421*G421</f>
        <v>0</v>
      </c>
      <c r="I421" s="157" t="s">
        <v>112</v>
      </c>
      <c r="J421" s="279"/>
      <c r="Q421" s="171"/>
      <c r="R421" s="151"/>
      <c r="T421" s="65"/>
      <c r="U421" s="65"/>
      <c r="V421" s="65"/>
    </row>
    <row r="422" spans="1:22" ht="12.75">
      <c r="A422" s="194">
        <f>A421+1</f>
        <v>163</v>
      </c>
      <c r="B422" s="303" t="s">
        <v>16</v>
      </c>
      <c r="C422" s="195"/>
      <c r="D422" s="82" t="s">
        <v>60</v>
      </c>
      <c r="E422" s="84" t="s">
        <v>775</v>
      </c>
      <c r="F422" s="141">
        <v>2</v>
      </c>
      <c r="G422" s="369"/>
      <c r="H422" s="85">
        <f t="shared" si="22"/>
        <v>0</v>
      </c>
      <c r="I422" s="157" t="s">
        <v>112</v>
      </c>
      <c r="J422" s="279"/>
      <c r="Q422" s="171">
        <v>0.0329</v>
      </c>
      <c r="R422" s="151"/>
      <c r="T422" s="65"/>
      <c r="U422" s="65"/>
      <c r="V422" s="65"/>
    </row>
    <row r="423" spans="1:22" ht="12.75">
      <c r="A423" s="194">
        <f aca="true" t="shared" si="23" ref="A423:A429">A422+1</f>
        <v>164</v>
      </c>
      <c r="B423" s="303" t="s">
        <v>204</v>
      </c>
      <c r="C423" s="195"/>
      <c r="D423" s="82" t="s">
        <v>534</v>
      </c>
      <c r="E423" s="84" t="s">
        <v>778</v>
      </c>
      <c r="F423" s="146">
        <v>3</v>
      </c>
      <c r="G423" s="369"/>
      <c r="H423" s="85">
        <f t="shared" si="22"/>
        <v>0</v>
      </c>
      <c r="I423" s="157" t="s">
        <v>112</v>
      </c>
      <c r="J423" s="279"/>
      <c r="Q423" s="171"/>
      <c r="R423" s="151"/>
      <c r="T423" s="65"/>
      <c r="U423" s="65"/>
      <c r="V423" s="65"/>
    </row>
    <row r="424" spans="1:22" ht="12.75">
      <c r="A424" s="194">
        <f>A423+1</f>
        <v>165</v>
      </c>
      <c r="B424" s="303" t="s">
        <v>180</v>
      </c>
      <c r="C424" s="195"/>
      <c r="D424" s="82" t="s">
        <v>342</v>
      </c>
      <c r="E424" s="84" t="s">
        <v>780</v>
      </c>
      <c r="F424" s="146">
        <f>+Q425</f>
        <v>0.05579</v>
      </c>
      <c r="G424" s="369"/>
      <c r="H424" s="85">
        <f>F424*G424</f>
        <v>0</v>
      </c>
      <c r="I424" s="157" t="s">
        <v>112</v>
      </c>
      <c r="J424" s="279"/>
      <c r="Q424" s="171"/>
      <c r="R424" s="151"/>
      <c r="T424" s="65"/>
      <c r="U424" s="65"/>
      <c r="V424" s="65"/>
    </row>
    <row r="425" spans="1:22" ht="12.75">
      <c r="A425" s="194">
        <f t="shared" si="23"/>
        <v>166</v>
      </c>
      <c r="B425" s="303" t="s">
        <v>540</v>
      </c>
      <c r="C425" s="195"/>
      <c r="D425" s="82" t="s">
        <v>205</v>
      </c>
      <c r="E425" s="84" t="s">
        <v>780</v>
      </c>
      <c r="F425" s="146">
        <f>F424</f>
        <v>0.05579</v>
      </c>
      <c r="G425" s="369"/>
      <c r="H425" s="85">
        <f t="shared" si="22"/>
        <v>0</v>
      </c>
      <c r="I425" s="157" t="s">
        <v>112</v>
      </c>
      <c r="J425" s="279"/>
      <c r="Q425" s="171">
        <f>SUM(Q417:Q424)</f>
        <v>0.05579</v>
      </c>
      <c r="R425" s="151"/>
      <c r="T425" s="65"/>
      <c r="U425" s="65"/>
      <c r="V425" s="65"/>
    </row>
    <row r="426" spans="1:22" ht="12.75">
      <c r="A426" s="194">
        <f t="shared" si="23"/>
        <v>167</v>
      </c>
      <c r="B426" s="303" t="s">
        <v>541</v>
      </c>
      <c r="C426" s="195"/>
      <c r="D426" s="82" t="s">
        <v>542</v>
      </c>
      <c r="E426" s="84" t="s">
        <v>780</v>
      </c>
      <c r="F426" s="146">
        <f>+F424</f>
        <v>0.05579</v>
      </c>
      <c r="G426" s="367"/>
      <c r="H426" s="85">
        <f t="shared" si="22"/>
        <v>0</v>
      </c>
      <c r="I426" s="157" t="s">
        <v>112</v>
      </c>
      <c r="J426" s="279"/>
      <c r="T426" s="65"/>
      <c r="U426" s="65"/>
      <c r="V426" s="65"/>
    </row>
    <row r="427" spans="1:22" ht="12.75">
      <c r="A427" s="194">
        <f t="shared" si="23"/>
        <v>168</v>
      </c>
      <c r="B427" s="303" t="s">
        <v>543</v>
      </c>
      <c r="C427" s="195"/>
      <c r="D427" s="82" t="s">
        <v>544</v>
      </c>
      <c r="E427" s="84" t="s">
        <v>780</v>
      </c>
      <c r="F427" s="146">
        <f>+F424</f>
        <v>0.05579</v>
      </c>
      <c r="G427" s="369"/>
      <c r="H427" s="85">
        <f t="shared" si="22"/>
        <v>0</v>
      </c>
      <c r="I427" s="157" t="s">
        <v>112</v>
      </c>
      <c r="J427" s="279"/>
      <c r="Q427" s="113"/>
      <c r="T427" s="65"/>
      <c r="U427" s="65"/>
      <c r="V427" s="65"/>
    </row>
    <row r="428" spans="1:22" ht="12.75">
      <c r="A428" s="194">
        <f t="shared" si="23"/>
        <v>169</v>
      </c>
      <c r="B428" s="303" t="s">
        <v>345</v>
      </c>
      <c r="C428" s="195"/>
      <c r="D428" s="82" t="s">
        <v>346</v>
      </c>
      <c r="E428" s="84" t="s">
        <v>780</v>
      </c>
      <c r="F428" s="146">
        <f>+F424</f>
        <v>0.05579</v>
      </c>
      <c r="G428" s="369"/>
      <c r="H428" s="85">
        <f t="shared" si="22"/>
        <v>0</v>
      </c>
      <c r="I428" s="157" t="s">
        <v>112</v>
      </c>
      <c r="J428" s="279"/>
      <c r="Q428" s="113"/>
      <c r="T428" s="65"/>
      <c r="U428" s="65"/>
      <c r="V428" s="65"/>
    </row>
    <row r="429" spans="1:22" ht="13.5" thickBot="1">
      <c r="A429" s="194">
        <f t="shared" si="23"/>
        <v>170</v>
      </c>
      <c r="B429" s="303" t="s">
        <v>343</v>
      </c>
      <c r="C429" s="195"/>
      <c r="D429" s="82" t="s">
        <v>344</v>
      </c>
      <c r="E429" s="84" t="s">
        <v>780</v>
      </c>
      <c r="F429" s="146">
        <f>+F424</f>
        <v>0.05579</v>
      </c>
      <c r="G429" s="369"/>
      <c r="H429" s="85">
        <f t="shared" si="22"/>
        <v>0</v>
      </c>
      <c r="I429" s="157" t="s">
        <v>112</v>
      </c>
      <c r="J429" s="279"/>
      <c r="Q429" s="113"/>
      <c r="T429" s="65"/>
      <c r="U429" s="65"/>
      <c r="V429" s="65"/>
    </row>
    <row r="430" spans="1:22" ht="15.75" thickBot="1">
      <c r="A430" s="194"/>
      <c r="B430" s="303"/>
      <c r="C430" s="195"/>
      <c r="D430" s="212" t="s">
        <v>777</v>
      </c>
      <c r="E430" s="213"/>
      <c r="F430" s="214"/>
      <c r="G430" s="388"/>
      <c r="H430" s="215">
        <f>SUM(H417:H429)</f>
        <v>0</v>
      </c>
      <c r="Q430" s="113"/>
      <c r="T430" s="65"/>
      <c r="U430" s="65"/>
      <c r="V430" s="65"/>
    </row>
    <row r="431" spans="1:22" ht="12.75">
      <c r="A431" s="194"/>
      <c r="B431" s="303"/>
      <c r="C431" s="195"/>
      <c r="D431" s="203"/>
      <c r="E431" s="187"/>
      <c r="F431" s="135"/>
      <c r="G431" s="380"/>
      <c r="H431" s="188"/>
      <c r="Q431" s="113"/>
      <c r="T431" s="65"/>
      <c r="U431" s="65"/>
      <c r="V431" s="65"/>
    </row>
    <row r="432" spans="1:22" ht="16.5">
      <c r="A432" s="194"/>
      <c r="B432" s="303"/>
      <c r="C432" s="237" t="s">
        <v>206</v>
      </c>
      <c r="D432" s="77" t="s">
        <v>437</v>
      </c>
      <c r="E432" s="77"/>
      <c r="F432" s="140"/>
      <c r="G432" s="372"/>
      <c r="H432" s="77"/>
      <c r="Q432" s="113"/>
      <c r="T432" s="65"/>
      <c r="U432" s="65"/>
      <c r="V432" s="65"/>
    </row>
    <row r="433" spans="1:22" ht="63" customHeight="1">
      <c r="A433" s="194"/>
      <c r="B433" s="303"/>
      <c r="C433" s="210"/>
      <c r="D433" s="396" t="s">
        <v>239</v>
      </c>
      <c r="E433" s="396"/>
      <c r="F433" s="396"/>
      <c r="G433" s="377"/>
      <c r="H433" s="111"/>
      <c r="Q433" s="113"/>
      <c r="T433" s="65"/>
      <c r="U433" s="65"/>
      <c r="V433" s="65"/>
    </row>
    <row r="434" spans="1:22" ht="25.5">
      <c r="A434" s="224">
        <f>A429+1</f>
        <v>171</v>
      </c>
      <c r="B434" s="303" t="s">
        <v>52</v>
      </c>
      <c r="C434" s="195"/>
      <c r="D434" s="201" t="s">
        <v>315</v>
      </c>
      <c r="E434" s="84" t="s">
        <v>779</v>
      </c>
      <c r="F434" s="141">
        <f>2.1+1.6+1.9+0.4+0.4+0.4+1+0.4+1.6</f>
        <v>9.8</v>
      </c>
      <c r="G434" s="369"/>
      <c r="H434" s="85">
        <f>F434*G434</f>
        <v>0</v>
      </c>
      <c r="I434" s="157" t="s">
        <v>112</v>
      </c>
      <c r="J434" s="278"/>
      <c r="K434" s="104"/>
      <c r="R434" s="113"/>
      <c r="T434" s="65"/>
      <c r="U434" s="65"/>
      <c r="V434" s="65"/>
    </row>
    <row r="435" spans="1:22" ht="25.5">
      <c r="A435" s="224">
        <f>A434+1</f>
        <v>172</v>
      </c>
      <c r="B435" s="307" t="s">
        <v>53</v>
      </c>
      <c r="C435" s="195"/>
      <c r="D435" s="216" t="s">
        <v>314</v>
      </c>
      <c r="E435" s="84" t="s">
        <v>779</v>
      </c>
      <c r="F435" s="141">
        <v>1.5</v>
      </c>
      <c r="G435" s="369"/>
      <c r="H435" s="85">
        <f>F435*G435</f>
        <v>0</v>
      </c>
      <c r="I435" s="157" t="s">
        <v>112</v>
      </c>
      <c r="J435" s="278"/>
      <c r="K435" s="104"/>
      <c r="R435" s="113"/>
      <c r="T435" s="65"/>
      <c r="U435" s="65"/>
      <c r="V435" s="65"/>
    </row>
    <row r="436" spans="1:22" ht="25.5">
      <c r="A436" s="224">
        <f aca="true" t="shared" si="24" ref="A436:A443">A435+1</f>
        <v>173</v>
      </c>
      <c r="B436" s="307" t="s">
        <v>608</v>
      </c>
      <c r="C436" s="195" t="s">
        <v>725</v>
      </c>
      <c r="D436" s="231" t="s">
        <v>609</v>
      </c>
      <c r="E436" s="84" t="s">
        <v>778</v>
      </c>
      <c r="F436" s="141">
        <v>1</v>
      </c>
      <c r="G436" s="369"/>
      <c r="H436" s="85">
        <f>F436*G436</f>
        <v>0</v>
      </c>
      <c r="I436" s="157" t="s">
        <v>112</v>
      </c>
      <c r="J436" s="278"/>
      <c r="K436" s="104"/>
      <c r="R436" s="113"/>
      <c r="T436" s="65"/>
      <c r="U436" s="65"/>
      <c r="V436" s="65"/>
    </row>
    <row r="437" spans="1:22" ht="25.5">
      <c r="A437" s="224">
        <f t="shared" si="24"/>
        <v>174</v>
      </c>
      <c r="B437" s="303" t="s">
        <v>307</v>
      </c>
      <c r="C437" s="195"/>
      <c r="D437" s="201" t="s">
        <v>592</v>
      </c>
      <c r="E437" s="84" t="s">
        <v>778</v>
      </c>
      <c r="F437" s="141">
        <v>4</v>
      </c>
      <c r="G437" s="369"/>
      <c r="H437" s="85">
        <f aca="true" t="shared" si="25" ref="H437:H443">F437*G437</f>
        <v>0</v>
      </c>
      <c r="I437" s="157" t="s">
        <v>112</v>
      </c>
      <c r="J437" s="279"/>
      <c r="Q437" s="113"/>
      <c r="T437" s="65"/>
      <c r="U437" s="65"/>
      <c r="V437" s="65"/>
    </row>
    <row r="438" spans="1:22" ht="12.75">
      <c r="A438" s="224">
        <f t="shared" si="24"/>
        <v>175</v>
      </c>
      <c r="B438" s="303" t="s">
        <v>308</v>
      </c>
      <c r="C438" s="195"/>
      <c r="D438" s="201" t="s">
        <v>309</v>
      </c>
      <c r="E438" s="84" t="s">
        <v>778</v>
      </c>
      <c r="F438" s="141">
        <v>1</v>
      </c>
      <c r="G438" s="369"/>
      <c r="H438" s="85">
        <f t="shared" si="25"/>
        <v>0</v>
      </c>
      <c r="I438" s="157" t="s">
        <v>112</v>
      </c>
      <c r="J438" s="279"/>
      <c r="Q438" s="113"/>
      <c r="T438" s="65"/>
      <c r="U438" s="65"/>
      <c r="V438" s="65"/>
    </row>
    <row r="439" spans="1:22" ht="12.75">
      <c r="A439" s="224">
        <f t="shared" si="24"/>
        <v>176</v>
      </c>
      <c r="B439" s="303" t="s">
        <v>310</v>
      </c>
      <c r="C439" s="195"/>
      <c r="D439" s="201" t="s">
        <v>601</v>
      </c>
      <c r="E439" s="84" t="s">
        <v>778</v>
      </c>
      <c r="F439" s="141">
        <v>1</v>
      </c>
      <c r="G439" s="369"/>
      <c r="H439" s="85">
        <f t="shared" si="25"/>
        <v>0</v>
      </c>
      <c r="I439" s="157" t="s">
        <v>112</v>
      </c>
      <c r="J439" s="279"/>
      <c r="T439" s="65"/>
      <c r="U439" s="65"/>
      <c r="V439" s="65"/>
    </row>
    <row r="440" spans="1:22" ht="12.75">
      <c r="A440" s="224">
        <f t="shared" si="24"/>
        <v>177</v>
      </c>
      <c r="B440" s="303" t="s">
        <v>213</v>
      </c>
      <c r="C440" s="195"/>
      <c r="D440" s="216" t="s">
        <v>212</v>
      </c>
      <c r="E440" s="84" t="s">
        <v>778</v>
      </c>
      <c r="F440" s="141">
        <v>1</v>
      </c>
      <c r="G440" s="369"/>
      <c r="H440" s="85">
        <f t="shared" si="25"/>
        <v>0</v>
      </c>
      <c r="I440" s="157" t="s">
        <v>112</v>
      </c>
      <c r="J440" s="279"/>
      <c r="T440" s="65"/>
      <c r="U440" s="65"/>
      <c r="V440" s="65"/>
    </row>
    <row r="441" spans="1:22" ht="25.5">
      <c r="A441" s="224">
        <f>A440+1</f>
        <v>178</v>
      </c>
      <c r="B441" s="314" t="s">
        <v>373</v>
      </c>
      <c r="C441" s="195" t="s">
        <v>725</v>
      </c>
      <c r="D441" s="319" t="s">
        <v>865</v>
      </c>
      <c r="E441" s="84" t="s">
        <v>775</v>
      </c>
      <c r="F441" s="141">
        <v>1</v>
      </c>
      <c r="G441" s="369"/>
      <c r="H441" s="85">
        <f t="shared" si="25"/>
        <v>0</v>
      </c>
      <c r="I441" s="157" t="s">
        <v>112</v>
      </c>
      <c r="J441" s="278"/>
      <c r="K441" s="104"/>
      <c r="L441" s="158"/>
      <c r="T441" s="65"/>
      <c r="U441" s="65"/>
      <c r="V441" s="65"/>
    </row>
    <row r="442" spans="1:22" ht="12.75">
      <c r="A442" s="224">
        <f t="shared" si="24"/>
        <v>179</v>
      </c>
      <c r="B442" s="303" t="s">
        <v>54</v>
      </c>
      <c r="C442" s="195"/>
      <c r="D442" s="216" t="s">
        <v>448</v>
      </c>
      <c r="E442" s="84" t="s">
        <v>779</v>
      </c>
      <c r="F442" s="141">
        <f>+F434+F435</f>
        <v>11.3</v>
      </c>
      <c r="G442" s="369"/>
      <c r="H442" s="85">
        <f t="shared" si="25"/>
        <v>0</v>
      </c>
      <c r="I442" s="157" t="s">
        <v>112</v>
      </c>
      <c r="J442" s="279"/>
      <c r="T442" s="65"/>
      <c r="U442" s="65"/>
      <c r="V442" s="65"/>
    </row>
    <row r="443" spans="1:22" ht="13.5" thickBot="1">
      <c r="A443" s="224">
        <f t="shared" si="24"/>
        <v>180</v>
      </c>
      <c r="B443" s="303" t="s">
        <v>347</v>
      </c>
      <c r="C443" s="195"/>
      <c r="D443" s="82" t="s">
        <v>426</v>
      </c>
      <c r="E443" s="208" t="s">
        <v>784</v>
      </c>
      <c r="F443" s="141">
        <f>+H434+H435+H436+H441+H437+H438+H439+H440</f>
        <v>0</v>
      </c>
      <c r="G443" s="383"/>
      <c r="H443" s="209">
        <f t="shared" si="25"/>
        <v>0</v>
      </c>
      <c r="I443" s="157" t="s">
        <v>112</v>
      </c>
      <c r="J443" s="279"/>
      <c r="T443" s="65"/>
      <c r="U443" s="65"/>
      <c r="V443" s="65"/>
    </row>
    <row r="444" spans="1:22" ht="13.5" thickBot="1">
      <c r="A444" s="194"/>
      <c r="B444" s="303"/>
      <c r="C444" s="195"/>
      <c r="D444" s="95" t="s">
        <v>777</v>
      </c>
      <c r="E444" s="96"/>
      <c r="F444" s="202"/>
      <c r="G444" s="376"/>
      <c r="H444" s="88">
        <f>SUBTOTAL(9,H434:H443)</f>
        <v>0</v>
      </c>
      <c r="T444" s="65"/>
      <c r="U444" s="65"/>
      <c r="V444" s="65"/>
    </row>
    <row r="445" spans="1:22" ht="14.25" customHeight="1">
      <c r="A445" s="194"/>
      <c r="B445" s="303"/>
      <c r="C445" s="195"/>
      <c r="D445" s="203"/>
      <c r="E445" s="187"/>
      <c r="F445" s="135"/>
      <c r="G445" s="380"/>
      <c r="H445" s="188"/>
      <c r="T445" s="65"/>
      <c r="U445" s="65"/>
      <c r="V445" s="65"/>
    </row>
    <row r="446" spans="1:22" ht="16.5">
      <c r="A446" s="194"/>
      <c r="B446" s="303"/>
      <c r="C446" s="237" t="s">
        <v>207</v>
      </c>
      <c r="D446" s="77" t="s">
        <v>438</v>
      </c>
      <c r="E446" s="77"/>
      <c r="F446" s="140"/>
      <c r="G446" s="372"/>
      <c r="H446" s="77"/>
      <c r="T446" s="65"/>
      <c r="U446" s="65"/>
      <c r="V446" s="65"/>
    </row>
    <row r="447" spans="1:22" ht="60.75" customHeight="1">
      <c r="A447" s="194"/>
      <c r="B447" s="303"/>
      <c r="C447" s="210"/>
      <c r="D447" s="396" t="s">
        <v>299</v>
      </c>
      <c r="E447" s="396"/>
      <c r="F447" s="396"/>
      <c r="G447" s="377"/>
      <c r="H447" s="111"/>
      <c r="T447" s="65"/>
      <c r="U447" s="65"/>
      <c r="V447" s="65"/>
    </row>
    <row r="448" spans="1:22" ht="12.75">
      <c r="A448" s="194">
        <f>A443+1</f>
        <v>181</v>
      </c>
      <c r="B448" s="303" t="s">
        <v>192</v>
      </c>
      <c r="C448" s="195"/>
      <c r="D448" s="216" t="s">
        <v>304</v>
      </c>
      <c r="E448" s="84" t="s">
        <v>779</v>
      </c>
      <c r="F448" s="141">
        <f>+F449+F450</f>
        <v>28.3</v>
      </c>
      <c r="G448" s="369"/>
      <c r="H448" s="85">
        <f>F448*G448</f>
        <v>0</v>
      </c>
      <c r="I448" s="157" t="s">
        <v>112</v>
      </c>
      <c r="J448" s="279"/>
      <c r="T448" s="65"/>
      <c r="U448" s="65"/>
      <c r="V448" s="65"/>
    </row>
    <row r="449" spans="1:22" ht="12.75">
      <c r="A449" s="194">
        <f>A448+1</f>
        <v>182</v>
      </c>
      <c r="B449" s="303" t="s">
        <v>18</v>
      </c>
      <c r="C449" s="195"/>
      <c r="D449" s="216" t="s">
        <v>109</v>
      </c>
      <c r="E449" s="84" t="s">
        <v>779</v>
      </c>
      <c r="F449" s="141">
        <f>2*1.5+0.8+2+0.5+0.4+0.4+2.3+0.4+2.9+0.4+1.6</f>
        <v>14.700000000000001</v>
      </c>
      <c r="G449" s="369"/>
      <c r="H449" s="85">
        <f aca="true" t="shared" si="26" ref="H449:H458">F449*G449</f>
        <v>0</v>
      </c>
      <c r="I449" s="157" t="s">
        <v>112</v>
      </c>
      <c r="J449" s="279"/>
      <c r="T449" s="65"/>
      <c r="U449" s="65"/>
      <c r="V449" s="65"/>
    </row>
    <row r="450" spans="1:22" ht="12.75">
      <c r="A450" s="194">
        <f aca="true" t="shared" si="27" ref="A450:A456">A449+1</f>
        <v>183</v>
      </c>
      <c r="B450" s="303" t="s">
        <v>17</v>
      </c>
      <c r="C450" s="195"/>
      <c r="D450" s="216" t="s">
        <v>108</v>
      </c>
      <c r="E450" s="84" t="s">
        <v>779</v>
      </c>
      <c r="F450" s="141">
        <f>2*1.5+0.8+1.9+0.4+2.5+0.4+2.6+0.4+1.6</f>
        <v>13.6</v>
      </c>
      <c r="G450" s="369"/>
      <c r="H450" s="85">
        <f t="shared" si="26"/>
        <v>0</v>
      </c>
      <c r="I450" s="157" t="s">
        <v>112</v>
      </c>
      <c r="J450" s="279"/>
      <c r="T450" s="65"/>
      <c r="U450" s="65"/>
      <c r="V450" s="65"/>
    </row>
    <row r="451" spans="1:22" ht="12.75">
      <c r="A451" s="194">
        <f>A450+1</f>
        <v>184</v>
      </c>
      <c r="B451" s="303" t="s">
        <v>590</v>
      </c>
      <c r="C451" s="153"/>
      <c r="D451" s="166" t="s">
        <v>591</v>
      </c>
      <c r="E451" s="149" t="s">
        <v>778</v>
      </c>
      <c r="F451" s="146">
        <v>11</v>
      </c>
      <c r="G451" s="369"/>
      <c r="H451" s="150">
        <f t="shared" si="26"/>
        <v>0</v>
      </c>
      <c r="I451" s="157" t="s">
        <v>112</v>
      </c>
      <c r="J451" s="284"/>
      <c r="K451" s="151"/>
      <c r="T451" s="65"/>
      <c r="U451" s="65"/>
      <c r="V451" s="65"/>
    </row>
    <row r="452" spans="1:22" ht="25.5">
      <c r="A452" s="194">
        <f t="shared" si="27"/>
        <v>185</v>
      </c>
      <c r="B452" s="303" t="s">
        <v>589</v>
      </c>
      <c r="C452" s="195"/>
      <c r="D452" s="201" t="s">
        <v>531</v>
      </c>
      <c r="E452" s="84" t="s">
        <v>778</v>
      </c>
      <c r="F452" s="141">
        <v>1</v>
      </c>
      <c r="G452" s="369"/>
      <c r="H452" s="85">
        <f t="shared" si="26"/>
        <v>0</v>
      </c>
      <c r="I452" s="157" t="s">
        <v>112</v>
      </c>
      <c r="J452" s="279"/>
      <c r="T452" s="65"/>
      <c r="U452" s="65"/>
      <c r="V452" s="65"/>
    </row>
    <row r="453" spans="1:22" ht="12.75">
      <c r="A453" s="194">
        <f t="shared" si="27"/>
        <v>186</v>
      </c>
      <c r="B453" s="311" t="s">
        <v>64</v>
      </c>
      <c r="C453" s="195"/>
      <c r="D453" s="201" t="s">
        <v>530</v>
      </c>
      <c r="E453" s="84" t="s">
        <v>778</v>
      </c>
      <c r="F453" s="141">
        <v>9</v>
      </c>
      <c r="G453" s="369"/>
      <c r="H453" s="85">
        <f t="shared" si="26"/>
        <v>0</v>
      </c>
      <c r="I453" s="157" t="s">
        <v>112</v>
      </c>
      <c r="J453" s="279"/>
      <c r="T453" s="65"/>
      <c r="U453" s="65"/>
      <c r="V453" s="65"/>
    </row>
    <row r="454" spans="1:22" ht="12.75">
      <c r="A454" s="194">
        <f t="shared" si="27"/>
        <v>187</v>
      </c>
      <c r="B454" s="311" t="s">
        <v>866</v>
      </c>
      <c r="C454" s="195"/>
      <c r="D454" s="231" t="s">
        <v>867</v>
      </c>
      <c r="E454" s="84" t="s">
        <v>778</v>
      </c>
      <c r="F454" s="141">
        <v>2</v>
      </c>
      <c r="G454" s="369"/>
      <c r="H454" s="85">
        <f t="shared" si="26"/>
        <v>0</v>
      </c>
      <c r="I454" s="157" t="s">
        <v>112</v>
      </c>
      <c r="J454" s="279"/>
      <c r="S454" t="s">
        <v>483</v>
      </c>
      <c r="T454" s="65"/>
      <c r="U454" s="65"/>
      <c r="V454" s="65"/>
    </row>
    <row r="455" spans="1:22" ht="12.75">
      <c r="A455" s="194">
        <f t="shared" si="27"/>
        <v>188</v>
      </c>
      <c r="B455" s="303" t="s">
        <v>19</v>
      </c>
      <c r="C455" s="195"/>
      <c r="D455" s="201" t="s">
        <v>305</v>
      </c>
      <c r="E455" s="84" t="s">
        <v>779</v>
      </c>
      <c r="F455" s="141">
        <f>+F449+F450</f>
        <v>28.3</v>
      </c>
      <c r="G455" s="369"/>
      <c r="H455" s="85">
        <f t="shared" si="26"/>
        <v>0</v>
      </c>
      <c r="I455" s="157" t="s">
        <v>112</v>
      </c>
      <c r="J455" s="279"/>
      <c r="T455" s="65"/>
      <c r="U455" s="65"/>
      <c r="V455" s="65"/>
    </row>
    <row r="456" spans="1:22" ht="12.75">
      <c r="A456" s="194">
        <f t="shared" si="27"/>
        <v>189</v>
      </c>
      <c r="B456" s="303" t="s">
        <v>322</v>
      </c>
      <c r="C456" s="195"/>
      <c r="D456" s="201" t="s">
        <v>323</v>
      </c>
      <c r="E456" s="84" t="s">
        <v>779</v>
      </c>
      <c r="F456" s="141">
        <f>+F455</f>
        <v>28.3</v>
      </c>
      <c r="G456" s="369"/>
      <c r="H456" s="85">
        <f t="shared" si="26"/>
        <v>0</v>
      </c>
      <c r="I456" s="157" t="s">
        <v>112</v>
      </c>
      <c r="J456" s="279"/>
      <c r="T456" s="65"/>
      <c r="U456" s="65"/>
      <c r="V456" s="65"/>
    </row>
    <row r="457" spans="1:22" ht="12.75">
      <c r="A457" s="194">
        <f>A456+1</f>
        <v>190</v>
      </c>
      <c r="B457" s="303" t="s">
        <v>729</v>
      </c>
      <c r="C457" s="195"/>
      <c r="D457" s="201" t="s">
        <v>43</v>
      </c>
      <c r="E457" s="84" t="s">
        <v>778</v>
      </c>
      <c r="F457" s="141">
        <v>1</v>
      </c>
      <c r="G457" s="369"/>
      <c r="H457" s="85">
        <f>F457*G457</f>
        <v>0</v>
      </c>
      <c r="I457" s="157" t="s">
        <v>112</v>
      </c>
      <c r="J457" s="279"/>
      <c r="T457" s="65"/>
      <c r="U457" s="65"/>
      <c r="V457" s="65"/>
    </row>
    <row r="458" spans="1:22" ht="13.5" thickBot="1">
      <c r="A458" s="194">
        <f>A457+1</f>
        <v>191</v>
      </c>
      <c r="B458" s="303" t="s">
        <v>347</v>
      </c>
      <c r="C458" s="195"/>
      <c r="D458" s="82" t="s">
        <v>426</v>
      </c>
      <c r="E458" s="208" t="s">
        <v>784</v>
      </c>
      <c r="F458" s="141">
        <f>SUM(H448:H454)</f>
        <v>0</v>
      </c>
      <c r="G458" s="383"/>
      <c r="H458" s="209">
        <f t="shared" si="26"/>
        <v>0</v>
      </c>
      <c r="I458" s="157" t="s">
        <v>112</v>
      </c>
      <c r="J458" s="279"/>
      <c r="T458" s="65"/>
      <c r="U458" s="65"/>
      <c r="V458" s="65"/>
    </row>
    <row r="459" spans="1:22" ht="13.5" thickBot="1">
      <c r="A459" s="194"/>
      <c r="B459" s="303"/>
      <c r="C459" s="195"/>
      <c r="D459" s="95" t="s">
        <v>777</v>
      </c>
      <c r="E459" s="96"/>
      <c r="F459" s="202"/>
      <c r="G459" s="376"/>
      <c r="H459" s="88">
        <f>SUBTOTAL(9,H448:H458)</f>
        <v>0</v>
      </c>
      <c r="T459" s="65"/>
      <c r="U459" s="65"/>
      <c r="V459" s="65"/>
    </row>
    <row r="460" spans="1:22" s="151" customFormat="1" ht="12.75">
      <c r="A460" s="194"/>
      <c r="B460" s="303"/>
      <c r="C460" s="195"/>
      <c r="D460" s="203"/>
      <c r="E460" s="187"/>
      <c r="F460" s="135"/>
      <c r="G460" s="380"/>
      <c r="H460" s="188"/>
      <c r="I460" s="157"/>
      <c r="J460" s="279"/>
      <c r="K460"/>
      <c r="T460" s="65"/>
      <c r="U460" s="65"/>
      <c r="V460" s="65"/>
    </row>
    <row r="461" spans="1:22" ht="16.5">
      <c r="A461" s="194"/>
      <c r="B461" s="303"/>
      <c r="C461" s="237" t="s">
        <v>208</v>
      </c>
      <c r="D461" s="77" t="s">
        <v>394</v>
      </c>
      <c r="E461" s="77"/>
      <c r="F461" s="140"/>
      <c r="G461" s="372"/>
      <c r="H461" s="77"/>
      <c r="T461" s="65"/>
      <c r="U461" s="65"/>
      <c r="V461" s="65"/>
    </row>
    <row r="462" spans="1:22" ht="70.5" customHeight="1">
      <c r="A462" s="194"/>
      <c r="B462" s="303"/>
      <c r="C462" s="210"/>
      <c r="D462" s="396" t="s">
        <v>298</v>
      </c>
      <c r="E462" s="396"/>
      <c r="F462" s="396"/>
      <c r="G462" s="377"/>
      <c r="H462" s="111"/>
      <c r="T462" s="65"/>
      <c r="U462" s="65"/>
      <c r="V462" s="65"/>
    </row>
    <row r="463" spans="1:22" ht="12.75">
      <c r="A463" s="194">
        <f>A458+1</f>
        <v>192</v>
      </c>
      <c r="B463" s="303" t="s">
        <v>325</v>
      </c>
      <c r="C463" s="195" t="s">
        <v>792</v>
      </c>
      <c r="D463" s="82" t="s">
        <v>324</v>
      </c>
      <c r="E463" s="84" t="s">
        <v>778</v>
      </c>
      <c r="F463" s="141">
        <v>2</v>
      </c>
      <c r="G463" s="369"/>
      <c r="H463" s="85">
        <f>F463*G463</f>
        <v>0</v>
      </c>
      <c r="I463" s="157" t="s">
        <v>112</v>
      </c>
      <c r="T463" s="65"/>
      <c r="U463" s="65"/>
      <c r="V463" s="65"/>
    </row>
    <row r="464" spans="1:22" ht="38.25">
      <c r="A464" s="194">
        <f>A463+1</f>
        <v>193</v>
      </c>
      <c r="B464" s="303" t="s">
        <v>55</v>
      </c>
      <c r="C464" s="236" t="s">
        <v>791</v>
      </c>
      <c r="D464" s="196" t="s">
        <v>163</v>
      </c>
      <c r="E464" s="197" t="s">
        <v>778</v>
      </c>
      <c r="F464" s="198">
        <v>1</v>
      </c>
      <c r="G464" s="374"/>
      <c r="H464" s="199">
        <f aca="true" t="shared" si="28" ref="H464:H488">F464*G464</f>
        <v>0</v>
      </c>
      <c r="I464" s="157" t="s">
        <v>112</v>
      </c>
      <c r="L464" s="158" t="s">
        <v>610</v>
      </c>
      <c r="S464" t="s">
        <v>444</v>
      </c>
      <c r="T464" s="65"/>
      <c r="U464" s="65"/>
      <c r="V464" s="65"/>
    </row>
    <row r="465" spans="1:22" ht="38.25">
      <c r="A465" s="194">
        <f aca="true" t="shared" si="29" ref="A465:A474">A464+1</f>
        <v>194</v>
      </c>
      <c r="B465" s="303" t="s">
        <v>56</v>
      </c>
      <c r="C465" s="236" t="s">
        <v>791</v>
      </c>
      <c r="D465" s="196" t="s">
        <v>164</v>
      </c>
      <c r="E465" s="197" t="s">
        <v>778</v>
      </c>
      <c r="F465" s="198">
        <v>1</v>
      </c>
      <c r="G465" s="374"/>
      <c r="H465" s="199">
        <f>F465*G465</f>
        <v>0</v>
      </c>
      <c r="I465" s="157" t="s">
        <v>112</v>
      </c>
      <c r="L465" s="158" t="s">
        <v>611</v>
      </c>
      <c r="T465" s="65"/>
      <c r="U465" s="65"/>
      <c r="V465" s="65"/>
    </row>
    <row r="466" spans="1:22" ht="12.75">
      <c r="A466" s="194">
        <f t="shared" si="29"/>
        <v>195</v>
      </c>
      <c r="B466" s="303" t="s">
        <v>306</v>
      </c>
      <c r="C466" s="195" t="s">
        <v>792</v>
      </c>
      <c r="D466" s="82" t="s">
        <v>198</v>
      </c>
      <c r="E466" s="84" t="s">
        <v>778</v>
      </c>
      <c r="F466" s="141">
        <v>2</v>
      </c>
      <c r="G466" s="369"/>
      <c r="H466" s="85">
        <f t="shared" si="28"/>
        <v>0</v>
      </c>
      <c r="I466" s="157" t="s">
        <v>112</v>
      </c>
      <c r="T466" s="65"/>
      <c r="U466" s="65"/>
      <c r="V466" s="65"/>
    </row>
    <row r="467" spans="1:22" ht="12.75">
      <c r="A467" s="194">
        <f t="shared" si="29"/>
        <v>196</v>
      </c>
      <c r="B467" s="303" t="s">
        <v>419</v>
      </c>
      <c r="C467" s="236" t="s">
        <v>791</v>
      </c>
      <c r="D467" s="196" t="s">
        <v>326</v>
      </c>
      <c r="E467" s="197" t="s">
        <v>778</v>
      </c>
      <c r="F467" s="198">
        <v>2</v>
      </c>
      <c r="G467" s="374"/>
      <c r="H467" s="199">
        <f>F467*G467</f>
        <v>0</v>
      </c>
      <c r="I467" s="157" t="s">
        <v>112</v>
      </c>
      <c r="L467" t="s">
        <v>171</v>
      </c>
      <c r="T467" s="65"/>
      <c r="U467" s="65"/>
      <c r="V467" s="65"/>
    </row>
    <row r="468" spans="1:22" ht="12.75">
      <c r="A468" s="194">
        <f t="shared" si="29"/>
        <v>197</v>
      </c>
      <c r="B468" s="303" t="s">
        <v>214</v>
      </c>
      <c r="C468" s="195" t="s">
        <v>792</v>
      </c>
      <c r="D468" s="82" t="s">
        <v>215</v>
      </c>
      <c r="E468" s="84" t="s">
        <v>778</v>
      </c>
      <c r="F468" s="141">
        <v>1</v>
      </c>
      <c r="G468" s="369"/>
      <c r="H468" s="85">
        <f>F468*G468</f>
        <v>0</v>
      </c>
      <c r="I468" s="157" t="s">
        <v>112</v>
      </c>
      <c r="T468" s="65"/>
      <c r="U468" s="65"/>
      <c r="V468" s="65"/>
    </row>
    <row r="469" spans="1:22" ht="12.75">
      <c r="A469" s="194">
        <f t="shared" si="29"/>
        <v>198</v>
      </c>
      <c r="B469" s="303" t="s">
        <v>420</v>
      </c>
      <c r="C469" s="236" t="s">
        <v>791</v>
      </c>
      <c r="D469" s="196" t="s">
        <v>570</v>
      </c>
      <c r="E469" s="197" t="s">
        <v>778</v>
      </c>
      <c r="F469" s="198">
        <v>1</v>
      </c>
      <c r="G469" s="374"/>
      <c r="H469" s="199">
        <f t="shared" si="28"/>
        <v>0</v>
      </c>
      <c r="I469" s="157" t="s">
        <v>112</v>
      </c>
      <c r="T469" s="65"/>
      <c r="U469" s="65"/>
      <c r="V469" s="65"/>
    </row>
    <row r="470" spans="1:22" ht="12.75">
      <c r="A470" s="194">
        <f t="shared" si="29"/>
        <v>199</v>
      </c>
      <c r="B470" s="303" t="s">
        <v>327</v>
      </c>
      <c r="C470" s="195" t="s">
        <v>792</v>
      </c>
      <c r="D470" s="82" t="s">
        <v>166</v>
      </c>
      <c r="E470" s="84" t="s">
        <v>778</v>
      </c>
      <c r="F470" s="141">
        <v>3</v>
      </c>
      <c r="G470" s="369"/>
      <c r="H470" s="85">
        <f t="shared" si="28"/>
        <v>0</v>
      </c>
      <c r="I470" s="157" t="s">
        <v>112</v>
      </c>
      <c r="T470" s="65"/>
      <c r="U470" s="65"/>
      <c r="V470" s="65"/>
    </row>
    <row r="471" spans="1:22" ht="51">
      <c r="A471" s="194">
        <f t="shared" si="29"/>
        <v>200</v>
      </c>
      <c r="B471" s="303" t="s">
        <v>422</v>
      </c>
      <c r="C471" s="236" t="s">
        <v>791</v>
      </c>
      <c r="D471" s="196" t="s">
        <v>868</v>
      </c>
      <c r="E471" s="197" t="s">
        <v>778</v>
      </c>
      <c r="F471" s="198">
        <v>2</v>
      </c>
      <c r="G471" s="374"/>
      <c r="H471" s="199">
        <f t="shared" si="28"/>
        <v>0</v>
      </c>
      <c r="I471" s="157" t="s">
        <v>112</v>
      </c>
      <c r="L471" s="114" t="s">
        <v>869</v>
      </c>
      <c r="T471" s="65"/>
      <c r="U471" s="65"/>
      <c r="V471" s="65"/>
    </row>
    <row r="472" spans="1:22" ht="51">
      <c r="A472" s="194">
        <f t="shared" si="29"/>
        <v>201</v>
      </c>
      <c r="B472" s="303" t="s">
        <v>421</v>
      </c>
      <c r="C472" s="236" t="s">
        <v>791</v>
      </c>
      <c r="D472" s="196" t="s">
        <v>870</v>
      </c>
      <c r="E472" s="197" t="s">
        <v>778</v>
      </c>
      <c r="F472" s="198">
        <v>1</v>
      </c>
      <c r="G472" s="374"/>
      <c r="H472" s="199">
        <f>F472*G472</f>
        <v>0</v>
      </c>
      <c r="I472" s="157" t="s">
        <v>112</v>
      </c>
      <c r="L472" t="s">
        <v>871</v>
      </c>
      <c r="T472" s="65"/>
      <c r="U472" s="65"/>
      <c r="V472" s="65"/>
    </row>
    <row r="473" spans="1:22" ht="25.5">
      <c r="A473" s="194">
        <f t="shared" si="29"/>
        <v>202</v>
      </c>
      <c r="B473" s="303" t="s">
        <v>602</v>
      </c>
      <c r="C473" s="195" t="s">
        <v>792</v>
      </c>
      <c r="D473" s="82" t="s">
        <v>81</v>
      </c>
      <c r="E473" s="84" t="s">
        <v>778</v>
      </c>
      <c r="F473" s="141">
        <v>1</v>
      </c>
      <c r="G473" s="369"/>
      <c r="H473" s="85">
        <f>F473*G473</f>
        <v>0</v>
      </c>
      <c r="I473" s="157" t="s">
        <v>112</v>
      </c>
      <c r="L473" s="158"/>
      <c r="T473" s="65"/>
      <c r="U473" s="65"/>
      <c r="V473" s="65"/>
    </row>
    <row r="474" spans="1:22" ht="25.5">
      <c r="A474" s="194">
        <f t="shared" si="29"/>
        <v>203</v>
      </c>
      <c r="B474" s="303" t="s">
        <v>21</v>
      </c>
      <c r="C474" s="236" t="s">
        <v>791</v>
      </c>
      <c r="D474" s="196" t="s">
        <v>165</v>
      </c>
      <c r="E474" s="197" t="s">
        <v>778</v>
      </c>
      <c r="F474" s="198">
        <v>1</v>
      </c>
      <c r="G474" s="374"/>
      <c r="H474" s="199">
        <f>F474*G474</f>
        <v>0</v>
      </c>
      <c r="I474" s="157" t="s">
        <v>112</v>
      </c>
      <c r="L474" s="158" t="s">
        <v>168</v>
      </c>
      <c r="Q474" s="156"/>
      <c r="T474" s="65"/>
      <c r="U474" s="65"/>
      <c r="V474" s="65"/>
    </row>
    <row r="475" spans="1:22" ht="51">
      <c r="A475" s="194">
        <f aca="true" t="shared" si="30" ref="A475:A485">A474+1</f>
        <v>204</v>
      </c>
      <c r="B475" s="303" t="s">
        <v>20</v>
      </c>
      <c r="C475" s="236" t="s">
        <v>791</v>
      </c>
      <c r="D475" s="196" t="s">
        <v>603</v>
      </c>
      <c r="E475" s="197" t="s">
        <v>778</v>
      </c>
      <c r="F475" s="198">
        <v>1</v>
      </c>
      <c r="G475" s="374"/>
      <c r="H475" s="199">
        <f>F475*G475</f>
        <v>0</v>
      </c>
      <c r="I475" s="157" t="s">
        <v>112</v>
      </c>
      <c r="L475" s="158" t="s">
        <v>169</v>
      </c>
      <c r="Q475" s="156"/>
      <c r="T475" s="65"/>
      <c r="U475" s="65"/>
      <c r="V475" s="65"/>
    </row>
    <row r="476" spans="1:22" ht="12.75">
      <c r="A476" s="194">
        <f t="shared" si="30"/>
        <v>205</v>
      </c>
      <c r="B476" s="303" t="s">
        <v>57</v>
      </c>
      <c r="C476" s="195" t="s">
        <v>792</v>
      </c>
      <c r="D476" s="82" t="s">
        <v>58</v>
      </c>
      <c r="E476" s="84" t="s">
        <v>778</v>
      </c>
      <c r="F476" s="141">
        <v>1</v>
      </c>
      <c r="G476" s="369"/>
      <c r="H476" s="85">
        <f t="shared" si="28"/>
        <v>0</v>
      </c>
      <c r="I476" s="160" t="s">
        <v>112</v>
      </c>
      <c r="J476" s="279"/>
      <c r="T476" s="65"/>
      <c r="U476" s="65"/>
      <c r="V476" s="65"/>
    </row>
    <row r="477" spans="1:22" ht="12.75">
      <c r="A477" s="194">
        <f t="shared" si="30"/>
        <v>206</v>
      </c>
      <c r="B477" s="303" t="s">
        <v>22</v>
      </c>
      <c r="C477" s="195" t="s">
        <v>792</v>
      </c>
      <c r="D477" s="82" t="s">
        <v>311</v>
      </c>
      <c r="E477" s="84" t="s">
        <v>778</v>
      </c>
      <c r="F477" s="141">
        <v>1</v>
      </c>
      <c r="G477" s="369"/>
      <c r="H477" s="85">
        <f t="shared" si="28"/>
        <v>0</v>
      </c>
      <c r="I477" s="160" t="s">
        <v>112</v>
      </c>
      <c r="J477" s="279"/>
      <c r="L477" t="s">
        <v>170</v>
      </c>
      <c r="T477" s="65"/>
      <c r="U477" s="65"/>
      <c r="V477" s="65"/>
    </row>
    <row r="478" spans="1:22" ht="51">
      <c r="A478" s="194">
        <f t="shared" si="30"/>
        <v>207</v>
      </c>
      <c r="B478" s="302" t="s">
        <v>423</v>
      </c>
      <c r="C478" s="98"/>
      <c r="D478" s="196" t="s">
        <v>872</v>
      </c>
      <c r="E478" s="100" t="s">
        <v>778</v>
      </c>
      <c r="F478" s="198">
        <v>1</v>
      </c>
      <c r="G478" s="374"/>
      <c r="H478" s="101">
        <f t="shared" si="28"/>
        <v>0</v>
      </c>
      <c r="I478" s="157" t="s">
        <v>112</v>
      </c>
      <c r="J478" s="279"/>
      <c r="L478" s="291" t="s">
        <v>873</v>
      </c>
      <c r="T478" s="65"/>
      <c r="U478" s="65"/>
      <c r="V478" s="65"/>
    </row>
    <row r="479" spans="1:22" ht="12.75">
      <c r="A479" s="194">
        <f t="shared" si="30"/>
        <v>208</v>
      </c>
      <c r="B479" s="303" t="s">
        <v>328</v>
      </c>
      <c r="C479" s="195" t="s">
        <v>792</v>
      </c>
      <c r="D479" s="82" t="s">
        <v>329</v>
      </c>
      <c r="E479" s="84" t="s">
        <v>778</v>
      </c>
      <c r="F479" s="141">
        <v>1</v>
      </c>
      <c r="G479" s="369"/>
      <c r="H479" s="85">
        <f t="shared" si="28"/>
        <v>0</v>
      </c>
      <c r="I479" s="157" t="s">
        <v>112</v>
      </c>
      <c r="J479" s="279"/>
      <c r="T479" s="65"/>
      <c r="U479" s="65"/>
      <c r="V479" s="65"/>
    </row>
    <row r="480" spans="1:22" ht="38.25">
      <c r="A480" s="194">
        <f t="shared" si="30"/>
        <v>209</v>
      </c>
      <c r="B480" s="303" t="s">
        <v>424</v>
      </c>
      <c r="C480" s="236" t="s">
        <v>791</v>
      </c>
      <c r="D480" s="196" t="s">
        <v>766</v>
      </c>
      <c r="E480" s="197" t="s">
        <v>778</v>
      </c>
      <c r="F480" s="198">
        <v>1</v>
      </c>
      <c r="G480" s="374"/>
      <c r="H480" s="199">
        <f t="shared" si="28"/>
        <v>0</v>
      </c>
      <c r="I480" s="157" t="s">
        <v>112</v>
      </c>
      <c r="J480" s="278"/>
      <c r="K480" s="104"/>
      <c r="L480" t="s">
        <v>172</v>
      </c>
      <c r="T480" s="65"/>
      <c r="U480" s="65"/>
      <c r="V480" s="65"/>
    </row>
    <row r="481" spans="1:22" ht="16.5">
      <c r="A481" s="194">
        <f t="shared" si="30"/>
        <v>210</v>
      </c>
      <c r="B481" s="303" t="s">
        <v>606</v>
      </c>
      <c r="C481" s="195" t="s">
        <v>792</v>
      </c>
      <c r="D481" s="82" t="s">
        <v>607</v>
      </c>
      <c r="E481" s="84" t="s">
        <v>778</v>
      </c>
      <c r="F481" s="141">
        <v>1</v>
      </c>
      <c r="G481" s="369"/>
      <c r="H481" s="85">
        <f t="shared" si="28"/>
        <v>0</v>
      </c>
      <c r="I481" s="157" t="s">
        <v>112</v>
      </c>
      <c r="L481" s="158" t="s">
        <v>604</v>
      </c>
      <c r="T481" s="65"/>
      <c r="U481" s="65"/>
      <c r="V481" s="65"/>
    </row>
    <row r="482" spans="1:22" ht="42" customHeight="1">
      <c r="A482" s="194">
        <f t="shared" si="30"/>
        <v>211</v>
      </c>
      <c r="B482" s="303" t="s">
        <v>23</v>
      </c>
      <c r="C482" s="236" t="s">
        <v>791</v>
      </c>
      <c r="D482" s="196" t="s">
        <v>519</v>
      </c>
      <c r="E482" s="197" t="s">
        <v>778</v>
      </c>
      <c r="F482" s="198">
        <v>1</v>
      </c>
      <c r="G482" s="374"/>
      <c r="H482" s="199">
        <f t="shared" si="28"/>
        <v>0</v>
      </c>
      <c r="I482" s="157" t="s">
        <v>112</v>
      </c>
      <c r="J482" s="278"/>
      <c r="K482" s="104"/>
      <c r="L482" s="158" t="s">
        <v>141</v>
      </c>
      <c r="T482" s="65"/>
      <c r="U482" s="65"/>
      <c r="V482" s="65"/>
    </row>
    <row r="483" spans="1:22" ht="38.25">
      <c r="A483" s="194">
        <f t="shared" si="30"/>
        <v>212</v>
      </c>
      <c r="B483" s="303" t="s">
        <v>425</v>
      </c>
      <c r="C483" s="236" t="s">
        <v>791</v>
      </c>
      <c r="D483" s="196" t="s">
        <v>167</v>
      </c>
      <c r="E483" s="197" t="s">
        <v>778</v>
      </c>
      <c r="F483" s="198">
        <v>1</v>
      </c>
      <c r="G483" s="374"/>
      <c r="H483" s="199">
        <f>F483*G483</f>
        <v>0</v>
      </c>
      <c r="I483" s="157" t="s">
        <v>112</v>
      </c>
      <c r="J483" s="278"/>
      <c r="K483" s="104"/>
      <c r="L483" s="234" t="s">
        <v>140</v>
      </c>
      <c r="T483" s="65"/>
      <c r="U483" s="65"/>
      <c r="V483" s="65"/>
    </row>
    <row r="484" spans="1:22" ht="16.5">
      <c r="A484" s="194">
        <f t="shared" si="30"/>
        <v>213</v>
      </c>
      <c r="B484" s="303" t="s">
        <v>719</v>
      </c>
      <c r="C484" s="195" t="s">
        <v>792</v>
      </c>
      <c r="D484" s="82" t="s">
        <v>572</v>
      </c>
      <c r="E484" s="84" t="s">
        <v>778</v>
      </c>
      <c r="F484" s="141">
        <v>2</v>
      </c>
      <c r="G484" s="369"/>
      <c r="H484" s="85">
        <f>F484*G484</f>
        <v>0</v>
      </c>
      <c r="I484" s="157" t="s">
        <v>112</v>
      </c>
      <c r="L484" s="158" t="s">
        <v>605</v>
      </c>
      <c r="T484" s="65"/>
      <c r="U484" s="65"/>
      <c r="V484" s="65"/>
    </row>
    <row r="485" spans="1:22" ht="25.5">
      <c r="A485" s="194">
        <f t="shared" si="30"/>
        <v>214</v>
      </c>
      <c r="B485" s="303" t="s">
        <v>24</v>
      </c>
      <c r="C485" s="236" t="s">
        <v>791</v>
      </c>
      <c r="D485" s="196" t="s">
        <v>718</v>
      </c>
      <c r="E485" s="197" t="s">
        <v>778</v>
      </c>
      <c r="F485" s="198">
        <v>1</v>
      </c>
      <c r="G485" s="374"/>
      <c r="H485" s="199">
        <f>F485*G485</f>
        <v>0</v>
      </c>
      <c r="I485" s="157" t="s">
        <v>112</v>
      </c>
      <c r="L485" s="158" t="s">
        <v>721</v>
      </c>
      <c r="T485" s="65"/>
      <c r="U485" s="65"/>
      <c r="V485" s="65"/>
    </row>
    <row r="486" spans="1:22" ht="25.5">
      <c r="A486" s="194">
        <f>A485+1</f>
        <v>215</v>
      </c>
      <c r="B486" s="303" t="s">
        <v>25</v>
      </c>
      <c r="C486" s="236" t="s">
        <v>791</v>
      </c>
      <c r="D486" s="196" t="s">
        <v>453</v>
      </c>
      <c r="E486" s="197" t="s">
        <v>778</v>
      </c>
      <c r="F486" s="198">
        <v>1</v>
      </c>
      <c r="G486" s="374"/>
      <c r="H486" s="199">
        <f t="shared" si="28"/>
        <v>0</v>
      </c>
      <c r="I486" s="157" t="s">
        <v>112</v>
      </c>
      <c r="L486" s="158" t="s">
        <v>720</v>
      </c>
      <c r="T486" s="65"/>
      <c r="U486" s="65"/>
      <c r="V486" s="65"/>
    </row>
    <row r="487" spans="1:22" ht="12.75">
      <c r="A487" s="194">
        <f>A486+1</f>
        <v>216</v>
      </c>
      <c r="B487" s="303" t="s">
        <v>37</v>
      </c>
      <c r="C487" s="195"/>
      <c r="D487" s="82" t="s">
        <v>491</v>
      </c>
      <c r="E487" s="84" t="s">
        <v>778</v>
      </c>
      <c r="F487" s="141">
        <v>7</v>
      </c>
      <c r="G487" s="369"/>
      <c r="H487" s="85">
        <f t="shared" si="28"/>
        <v>0</v>
      </c>
      <c r="I487" s="157" t="s">
        <v>112</v>
      </c>
      <c r="T487" s="65"/>
      <c r="U487" s="65"/>
      <c r="V487" s="65"/>
    </row>
    <row r="488" spans="1:22" ht="13.5" thickBot="1">
      <c r="A488" s="194">
        <f>A487+1</f>
        <v>217</v>
      </c>
      <c r="B488" s="303" t="s">
        <v>347</v>
      </c>
      <c r="C488" s="195"/>
      <c r="D488" s="82" t="s">
        <v>426</v>
      </c>
      <c r="E488" s="208" t="s">
        <v>784</v>
      </c>
      <c r="F488" s="141">
        <f>+H464+H465+Cena_2e+H469+H471+H472+H474+H475+H478+H480+H482+H483+H485+H486+H487</f>
        <v>0</v>
      </c>
      <c r="G488" s="383"/>
      <c r="H488" s="209">
        <f t="shared" si="28"/>
        <v>0</v>
      </c>
      <c r="I488" s="157" t="s">
        <v>112</v>
      </c>
      <c r="T488" s="65"/>
      <c r="U488" s="65"/>
      <c r="V488" s="65"/>
    </row>
    <row r="489" spans="1:22" ht="13.5" thickBot="1">
      <c r="A489" s="194"/>
      <c r="B489" s="303"/>
      <c r="C489" s="195"/>
      <c r="D489" s="95" t="s">
        <v>777</v>
      </c>
      <c r="E489" s="96"/>
      <c r="F489" s="202"/>
      <c r="G489" s="376"/>
      <c r="H489" s="88">
        <f>SUBTOTAL(9,H463:H488)</f>
        <v>0</v>
      </c>
      <c r="T489" s="65"/>
      <c r="U489" s="65"/>
      <c r="V489" s="65"/>
    </row>
    <row r="490" spans="1:22" ht="13.5" thickBot="1">
      <c r="A490" s="194"/>
      <c r="B490" s="303"/>
      <c r="C490" s="195"/>
      <c r="D490" s="203"/>
      <c r="E490" s="187"/>
      <c r="F490" s="135"/>
      <c r="G490" s="380"/>
      <c r="H490" s="188"/>
      <c r="T490" s="65"/>
      <c r="U490" s="65"/>
      <c r="V490" s="65"/>
    </row>
    <row r="491" spans="1:22" ht="16.5">
      <c r="A491" s="194"/>
      <c r="B491" s="303"/>
      <c r="C491" s="237" t="s">
        <v>209</v>
      </c>
      <c r="D491" s="116" t="s">
        <v>395</v>
      </c>
      <c r="E491" s="116"/>
      <c r="F491" s="144"/>
      <c r="G491" s="389"/>
      <c r="H491" s="116"/>
      <c r="T491" s="65"/>
      <c r="U491" s="65"/>
      <c r="V491" s="65"/>
    </row>
    <row r="492" spans="1:22" ht="93.75" customHeight="1">
      <c r="A492" s="194"/>
      <c r="B492" s="303"/>
      <c r="C492" s="210"/>
      <c r="D492" s="396" t="s">
        <v>490</v>
      </c>
      <c r="E492" s="396"/>
      <c r="F492" s="396"/>
      <c r="G492" s="377"/>
      <c r="H492" s="111"/>
      <c r="J492" s="290"/>
      <c r="T492" s="65"/>
      <c r="U492" s="65"/>
      <c r="V492" s="65"/>
    </row>
    <row r="493" spans="1:22" ht="12.75">
      <c r="A493" s="194">
        <f>A488+1</f>
        <v>218</v>
      </c>
      <c r="B493" s="311" t="s">
        <v>229</v>
      </c>
      <c r="C493" s="153" t="s">
        <v>792</v>
      </c>
      <c r="D493" s="152" t="s">
        <v>230</v>
      </c>
      <c r="E493" s="149" t="s">
        <v>779</v>
      </c>
      <c r="F493" s="146">
        <f>+F494</f>
        <v>1</v>
      </c>
      <c r="G493" s="373"/>
      <c r="H493" s="150">
        <f aca="true" t="shared" si="31" ref="H493:H514">F493*G493</f>
        <v>0</v>
      </c>
      <c r="I493" s="226" t="s">
        <v>115</v>
      </c>
      <c r="L493" s="147"/>
      <c r="T493" s="65"/>
      <c r="U493" s="65"/>
      <c r="V493" s="65"/>
    </row>
    <row r="494" spans="1:22" ht="16.5">
      <c r="A494" s="224">
        <f>A493+1</f>
        <v>219</v>
      </c>
      <c r="B494" s="311" t="s">
        <v>82</v>
      </c>
      <c r="C494" s="169" t="s">
        <v>791</v>
      </c>
      <c r="D494" s="163" t="s">
        <v>231</v>
      </c>
      <c r="E494" s="164" t="s">
        <v>779</v>
      </c>
      <c r="F494" s="154">
        <v>1</v>
      </c>
      <c r="G494" s="390"/>
      <c r="H494" s="165">
        <f t="shared" si="31"/>
        <v>0</v>
      </c>
      <c r="I494" s="226" t="s">
        <v>115</v>
      </c>
      <c r="L494" s="162" t="s">
        <v>235</v>
      </c>
      <c r="T494" s="65"/>
      <c r="U494" s="65"/>
      <c r="V494" s="65"/>
    </row>
    <row r="495" spans="1:22" ht="12.75" customHeight="1">
      <c r="A495" s="224">
        <f>A494+1</f>
        <v>220</v>
      </c>
      <c r="B495" s="311">
        <v>429853241</v>
      </c>
      <c r="C495" s="169" t="s">
        <v>791</v>
      </c>
      <c r="D495" s="163" t="s">
        <v>232</v>
      </c>
      <c r="E495" s="164" t="s">
        <v>778</v>
      </c>
      <c r="F495" s="154">
        <v>1</v>
      </c>
      <c r="G495" s="390"/>
      <c r="H495" s="165">
        <f t="shared" si="31"/>
        <v>0</v>
      </c>
      <c r="I495" s="226" t="s">
        <v>115</v>
      </c>
      <c r="K495" s="151"/>
      <c r="T495" s="65"/>
      <c r="U495" s="65"/>
      <c r="V495" s="65"/>
    </row>
    <row r="496" spans="1:22" ht="12.75">
      <c r="A496" s="224">
        <f>A495+1</f>
        <v>221</v>
      </c>
      <c r="B496" s="311">
        <v>429853271</v>
      </c>
      <c r="C496" s="169" t="s">
        <v>791</v>
      </c>
      <c r="D496" s="163" t="s">
        <v>233</v>
      </c>
      <c r="E496" s="164" t="s">
        <v>778</v>
      </c>
      <c r="F496" s="154">
        <v>1</v>
      </c>
      <c r="G496" s="390"/>
      <c r="H496" s="165">
        <f t="shared" si="31"/>
        <v>0</v>
      </c>
      <c r="I496" s="226" t="s">
        <v>115</v>
      </c>
      <c r="K496" s="151"/>
      <c r="T496" s="65"/>
      <c r="U496" s="65"/>
      <c r="V496" s="65"/>
    </row>
    <row r="497" spans="1:22" ht="12.75">
      <c r="A497" s="224">
        <f>A496+1</f>
        <v>222</v>
      </c>
      <c r="B497" s="311">
        <v>429853246</v>
      </c>
      <c r="C497" s="169" t="s">
        <v>791</v>
      </c>
      <c r="D497" s="163" t="s">
        <v>432</v>
      </c>
      <c r="E497" s="164" t="s">
        <v>778</v>
      </c>
      <c r="F497" s="154">
        <v>1</v>
      </c>
      <c r="G497" s="390"/>
      <c r="H497" s="165">
        <f t="shared" si="31"/>
        <v>0</v>
      </c>
      <c r="I497" s="226" t="s">
        <v>115</v>
      </c>
      <c r="J497" s="288"/>
      <c r="K497" s="104"/>
      <c r="L497" s="151"/>
      <c r="T497" s="65"/>
      <c r="U497" s="65"/>
      <c r="V497" s="65"/>
    </row>
    <row r="498" spans="1:22" ht="12.75">
      <c r="A498" s="194">
        <f>A493+1</f>
        <v>219</v>
      </c>
      <c r="B498" s="311" t="s">
        <v>273</v>
      </c>
      <c r="C498" s="153" t="s">
        <v>792</v>
      </c>
      <c r="D498" s="152" t="s">
        <v>272</v>
      </c>
      <c r="E498" s="149" t="s">
        <v>779</v>
      </c>
      <c r="F498" s="146">
        <f>+F499</f>
        <v>7.5</v>
      </c>
      <c r="G498" s="373"/>
      <c r="H498" s="150">
        <f t="shared" si="31"/>
        <v>0</v>
      </c>
      <c r="I498" s="226" t="s">
        <v>115</v>
      </c>
      <c r="L498" s="147"/>
      <c r="T498" s="65"/>
      <c r="U498" s="65"/>
      <c r="V498" s="65"/>
    </row>
    <row r="499" spans="1:22" ht="16.5">
      <c r="A499" s="224">
        <f>A497+1</f>
        <v>223</v>
      </c>
      <c r="B499" s="311" t="s">
        <v>260</v>
      </c>
      <c r="C499" s="169" t="s">
        <v>791</v>
      </c>
      <c r="D499" s="163" t="s">
        <v>263</v>
      </c>
      <c r="E499" s="164" t="s">
        <v>779</v>
      </c>
      <c r="F499" s="154">
        <v>7.5</v>
      </c>
      <c r="G499" s="390"/>
      <c r="H499" s="165">
        <f t="shared" si="31"/>
        <v>0</v>
      </c>
      <c r="I499" s="226" t="s">
        <v>115</v>
      </c>
      <c r="L499" s="162"/>
      <c r="T499" s="65"/>
      <c r="U499" s="65"/>
      <c r="V499" s="65"/>
    </row>
    <row r="500" spans="1:22" ht="12.75" customHeight="1">
      <c r="A500" s="224">
        <f>A499+1</f>
        <v>224</v>
      </c>
      <c r="B500" s="311">
        <v>429853054</v>
      </c>
      <c r="C500" s="169" t="s">
        <v>791</v>
      </c>
      <c r="D500" s="163" t="s">
        <v>262</v>
      </c>
      <c r="E500" s="164" t="s">
        <v>778</v>
      </c>
      <c r="F500" s="154">
        <v>7</v>
      </c>
      <c r="G500" s="390"/>
      <c r="H500" s="165">
        <f t="shared" si="31"/>
        <v>0</v>
      </c>
      <c r="I500" s="226" t="s">
        <v>115</v>
      </c>
      <c r="K500" s="151"/>
      <c r="T500" s="65"/>
      <c r="U500" s="65"/>
      <c r="V500" s="65"/>
    </row>
    <row r="501" spans="1:22" ht="12.75">
      <c r="A501" s="224">
        <f>A500+1</f>
        <v>225</v>
      </c>
      <c r="B501" s="311">
        <v>429853066</v>
      </c>
      <c r="C501" s="169" t="s">
        <v>791</v>
      </c>
      <c r="D501" s="163" t="s">
        <v>261</v>
      </c>
      <c r="E501" s="164" t="s">
        <v>778</v>
      </c>
      <c r="F501" s="154">
        <v>1</v>
      </c>
      <c r="G501" s="390"/>
      <c r="H501" s="165">
        <f t="shared" si="31"/>
        <v>0</v>
      </c>
      <c r="I501" s="226" t="s">
        <v>115</v>
      </c>
      <c r="K501" s="151"/>
      <c r="T501" s="65"/>
      <c r="U501" s="65"/>
      <c r="V501" s="65"/>
    </row>
    <row r="502" spans="1:22" ht="16.5">
      <c r="A502" s="224">
        <f>A499+1</f>
        <v>224</v>
      </c>
      <c r="B502" s="311">
        <v>429853017</v>
      </c>
      <c r="C502" s="169" t="s">
        <v>791</v>
      </c>
      <c r="D502" s="163" t="s">
        <v>259</v>
      </c>
      <c r="E502" s="164" t="s">
        <v>778</v>
      </c>
      <c r="F502" s="154">
        <v>2</v>
      </c>
      <c r="G502" s="390"/>
      <c r="H502" s="165">
        <f t="shared" si="31"/>
        <v>0</v>
      </c>
      <c r="I502" s="226" t="s">
        <v>115</v>
      </c>
      <c r="L502" s="162"/>
      <c r="T502" s="65"/>
      <c r="U502" s="65"/>
      <c r="V502" s="65"/>
    </row>
    <row r="503" spans="1:22" ht="12.75">
      <c r="A503" s="224">
        <f>A502+1</f>
        <v>225</v>
      </c>
      <c r="B503" s="311" t="s">
        <v>264</v>
      </c>
      <c r="C503" s="169" t="s">
        <v>791</v>
      </c>
      <c r="D503" s="163" t="s">
        <v>265</v>
      </c>
      <c r="E503" s="164" t="s">
        <v>778</v>
      </c>
      <c r="F503" s="154">
        <v>1</v>
      </c>
      <c r="G503" s="390"/>
      <c r="H503" s="165">
        <f t="shared" si="31"/>
        <v>0</v>
      </c>
      <c r="I503" s="226" t="s">
        <v>115</v>
      </c>
      <c r="L503" s="151"/>
      <c r="T503" s="65"/>
      <c r="U503" s="65"/>
      <c r="V503" s="65"/>
    </row>
    <row r="504" spans="1:22" ht="12.75">
      <c r="A504" s="224">
        <f>A503+1</f>
        <v>226</v>
      </c>
      <c r="B504" s="311" t="s">
        <v>264</v>
      </c>
      <c r="C504" s="169" t="s">
        <v>791</v>
      </c>
      <c r="D504" s="163" t="s">
        <v>266</v>
      </c>
      <c r="E504" s="164" t="s">
        <v>778</v>
      </c>
      <c r="F504" s="154">
        <v>1</v>
      </c>
      <c r="G504" s="390"/>
      <c r="H504" s="165">
        <f t="shared" si="31"/>
        <v>0</v>
      </c>
      <c r="I504" s="226" t="s">
        <v>115</v>
      </c>
      <c r="L504" s="151" t="s">
        <v>267</v>
      </c>
      <c r="T504" s="65"/>
      <c r="U504" s="65"/>
      <c r="V504" s="65"/>
    </row>
    <row r="505" spans="1:22" ht="25.5">
      <c r="A505" s="224">
        <f>A503+1</f>
        <v>226</v>
      </c>
      <c r="B505" s="311" t="s">
        <v>147</v>
      </c>
      <c r="C505" s="169" t="s">
        <v>791</v>
      </c>
      <c r="D505" s="163" t="s">
        <v>268</v>
      </c>
      <c r="E505" s="164" t="s">
        <v>778</v>
      </c>
      <c r="F505" s="154">
        <v>2</v>
      </c>
      <c r="G505" s="390"/>
      <c r="H505" s="165">
        <f t="shared" si="31"/>
        <v>0</v>
      </c>
      <c r="I505" s="226" t="s">
        <v>115</v>
      </c>
      <c r="K505" s="104"/>
      <c r="L505" s="162" t="s">
        <v>236</v>
      </c>
      <c r="T505" s="65"/>
      <c r="U505" s="65"/>
      <c r="V505" s="65"/>
    </row>
    <row r="506" spans="1:22" ht="16.5">
      <c r="A506" s="224">
        <f>A504+1</f>
        <v>227</v>
      </c>
      <c r="B506" s="311" t="s">
        <v>877</v>
      </c>
      <c r="C506" s="169"/>
      <c r="D506" s="163" t="s">
        <v>878</v>
      </c>
      <c r="E506" s="164" t="s">
        <v>776</v>
      </c>
      <c r="F506" s="154">
        <f>(0.21+0.06)*2*2</f>
        <v>1.08</v>
      </c>
      <c r="G506" s="390"/>
      <c r="H506" s="165">
        <f>F506*G506</f>
        <v>0</v>
      </c>
      <c r="I506" s="226" t="s">
        <v>115</v>
      </c>
      <c r="K506" s="104"/>
      <c r="L506" s="162"/>
      <c r="T506" s="65"/>
      <c r="U506" s="65"/>
      <c r="V506" s="65"/>
    </row>
    <row r="507" spans="1:22" ht="16.5">
      <c r="A507" s="224">
        <f>A505+1</f>
        <v>227</v>
      </c>
      <c r="B507" s="311">
        <v>63140101</v>
      </c>
      <c r="C507" s="169"/>
      <c r="D507" s="163" t="s">
        <v>879</v>
      </c>
      <c r="E507" s="164" t="s">
        <v>776</v>
      </c>
      <c r="F507" s="154">
        <f>F506*1.1</f>
        <v>1.1880000000000002</v>
      </c>
      <c r="G507" s="390"/>
      <c r="H507" s="165">
        <f t="shared" si="31"/>
        <v>0</v>
      </c>
      <c r="I507" s="226" t="s">
        <v>115</v>
      </c>
      <c r="K507" s="104"/>
      <c r="L507" s="162" t="s">
        <v>439</v>
      </c>
      <c r="T507" s="65"/>
      <c r="U507" s="65"/>
      <c r="V507" s="65"/>
    </row>
    <row r="508" spans="1:22" ht="12.75">
      <c r="A508" s="194">
        <f>A506+1</f>
        <v>228</v>
      </c>
      <c r="B508" s="311" t="s">
        <v>874</v>
      </c>
      <c r="C508" s="153" t="s">
        <v>792</v>
      </c>
      <c r="D508" s="152" t="s">
        <v>876</v>
      </c>
      <c r="E508" s="149" t="s">
        <v>511</v>
      </c>
      <c r="F508" s="146">
        <v>4</v>
      </c>
      <c r="G508" s="373"/>
      <c r="H508" s="150">
        <f t="shared" si="31"/>
        <v>0</v>
      </c>
      <c r="I508" s="226" t="s">
        <v>115</v>
      </c>
      <c r="L508" s="147" t="s">
        <v>875</v>
      </c>
      <c r="T508" s="65"/>
      <c r="U508" s="65"/>
      <c r="V508" s="65"/>
    </row>
    <row r="509" spans="1:12" s="262" customFormat="1" ht="16.5">
      <c r="A509" s="268">
        <f aca="true" t="shared" si="32" ref="A509:A514">A508+1</f>
        <v>229</v>
      </c>
      <c r="B509" s="313" t="s">
        <v>269</v>
      </c>
      <c r="C509" s="270" t="s">
        <v>791</v>
      </c>
      <c r="D509" s="271" t="s">
        <v>270</v>
      </c>
      <c r="E509" s="272" t="s">
        <v>779</v>
      </c>
      <c r="F509" s="273">
        <v>20.5</v>
      </c>
      <c r="G509" s="390"/>
      <c r="H509" s="170">
        <f t="shared" si="31"/>
        <v>0</v>
      </c>
      <c r="I509" s="366" t="s">
        <v>115</v>
      </c>
      <c r="J509" s="284"/>
      <c r="L509" s="162" t="s">
        <v>271</v>
      </c>
    </row>
    <row r="510" spans="1:22" ht="16.5">
      <c r="A510" s="224">
        <f t="shared" si="32"/>
        <v>230</v>
      </c>
      <c r="B510" s="311" t="s">
        <v>275</v>
      </c>
      <c r="C510" s="153" t="s">
        <v>234</v>
      </c>
      <c r="D510" s="152" t="s">
        <v>274</v>
      </c>
      <c r="E510" s="149" t="s">
        <v>778</v>
      </c>
      <c r="F510" s="146">
        <v>1</v>
      </c>
      <c r="G510" s="373"/>
      <c r="H510" s="150">
        <f t="shared" si="31"/>
        <v>0</v>
      </c>
      <c r="I510" s="226" t="s">
        <v>115</v>
      </c>
      <c r="K510" s="162"/>
      <c r="T510" s="65"/>
      <c r="U510" s="65"/>
      <c r="V510" s="65"/>
    </row>
    <row r="511" spans="1:22" ht="25.5">
      <c r="A511" s="224">
        <f t="shared" si="32"/>
        <v>231</v>
      </c>
      <c r="B511" s="311" t="s">
        <v>440</v>
      </c>
      <c r="C511" s="169" t="s">
        <v>791</v>
      </c>
      <c r="D511" s="163" t="s">
        <v>277</v>
      </c>
      <c r="E511" s="164" t="s">
        <v>775</v>
      </c>
      <c r="F511" s="154">
        <v>1</v>
      </c>
      <c r="G511" s="390"/>
      <c r="H511" s="165">
        <f t="shared" si="31"/>
        <v>0</v>
      </c>
      <c r="I511" s="226" t="s">
        <v>115</v>
      </c>
      <c r="K511" s="104"/>
      <c r="L511" s="162" t="s">
        <v>276</v>
      </c>
      <c r="T511" s="65"/>
      <c r="U511" s="65"/>
      <c r="V511" s="65"/>
    </row>
    <row r="512" spans="1:22" ht="25.5">
      <c r="A512" s="224">
        <f t="shared" si="32"/>
        <v>232</v>
      </c>
      <c r="B512" s="311" t="s">
        <v>691</v>
      </c>
      <c r="C512" s="153" t="s">
        <v>725</v>
      </c>
      <c r="D512" s="152" t="s">
        <v>891</v>
      </c>
      <c r="E512" s="149" t="s">
        <v>775</v>
      </c>
      <c r="F512" s="146">
        <v>1</v>
      </c>
      <c r="G512" s="373"/>
      <c r="H512" s="150">
        <f t="shared" si="31"/>
        <v>0</v>
      </c>
      <c r="I512" s="226" t="s">
        <v>112</v>
      </c>
      <c r="J512" s="288"/>
      <c r="K512" s="104"/>
      <c r="T512" s="65"/>
      <c r="U512" s="65"/>
      <c r="V512" s="65"/>
    </row>
    <row r="513" spans="1:22" ht="12.75">
      <c r="A513" s="224">
        <f t="shared" si="32"/>
        <v>233</v>
      </c>
      <c r="B513" s="311" t="s">
        <v>441</v>
      </c>
      <c r="C513" s="153"/>
      <c r="D513" s="152" t="s">
        <v>442</v>
      </c>
      <c r="E513" s="149" t="s">
        <v>775</v>
      </c>
      <c r="F513" s="146">
        <v>1</v>
      </c>
      <c r="G513" s="373"/>
      <c r="H513" s="150">
        <f t="shared" si="31"/>
        <v>0</v>
      </c>
      <c r="I513" s="226" t="s">
        <v>115</v>
      </c>
      <c r="J513" s="288"/>
      <c r="K513" s="104"/>
      <c r="T513" s="65"/>
      <c r="U513" s="65"/>
      <c r="V513" s="65"/>
    </row>
    <row r="514" spans="1:22" ht="13.5" thickBot="1">
      <c r="A514" s="194">
        <f t="shared" si="32"/>
        <v>234</v>
      </c>
      <c r="B514" s="311" t="s">
        <v>347</v>
      </c>
      <c r="C514" s="153"/>
      <c r="D514" s="152" t="s">
        <v>426</v>
      </c>
      <c r="E514" s="167" t="s">
        <v>784</v>
      </c>
      <c r="F514" s="146">
        <f>+H494+H495+H496+H497+H499+H500+H501+H502+H503+H504+H505+H509+H511+H512+H513</f>
        <v>0</v>
      </c>
      <c r="G514" s="391"/>
      <c r="H514" s="168">
        <f t="shared" si="31"/>
        <v>0</v>
      </c>
      <c r="I514" s="226" t="s">
        <v>115</v>
      </c>
      <c r="J514" s="279"/>
      <c r="T514" s="65"/>
      <c r="U514" s="65"/>
      <c r="V514" s="65"/>
    </row>
    <row r="515" spans="1:22" ht="13.5" thickBot="1">
      <c r="A515" s="194"/>
      <c r="B515" s="303"/>
      <c r="C515" s="195"/>
      <c r="D515" s="95" t="s">
        <v>777</v>
      </c>
      <c r="E515" s="96"/>
      <c r="F515" s="202"/>
      <c r="G515" s="376"/>
      <c r="H515" s="88">
        <f>SUM(H493:H514)</f>
        <v>0</v>
      </c>
      <c r="T515" s="65"/>
      <c r="U515" s="65"/>
      <c r="V515" s="65"/>
    </row>
    <row r="516" spans="1:22" ht="12.75">
      <c r="A516" s="194"/>
      <c r="B516" s="303"/>
      <c r="C516" s="195"/>
      <c r="D516" s="203"/>
      <c r="E516" s="187"/>
      <c r="F516" s="135"/>
      <c r="G516" s="380"/>
      <c r="H516" s="188"/>
      <c r="T516" s="65"/>
      <c r="U516" s="65"/>
      <c r="V516" s="65"/>
    </row>
    <row r="517" spans="1:22" ht="16.5">
      <c r="A517" s="194"/>
      <c r="B517" s="303"/>
      <c r="C517" s="237" t="s">
        <v>210</v>
      </c>
      <c r="D517" s="117" t="s">
        <v>533</v>
      </c>
      <c r="E517" s="117"/>
      <c r="F517" s="140"/>
      <c r="G517" s="392"/>
      <c r="H517" s="117"/>
      <c r="T517" s="65"/>
      <c r="U517" s="65"/>
      <c r="V517" s="65"/>
    </row>
    <row r="518" spans="1:22" ht="68.25" customHeight="1">
      <c r="A518" s="194"/>
      <c r="B518" s="303"/>
      <c r="C518" s="210"/>
      <c r="D518" s="396" t="s">
        <v>173</v>
      </c>
      <c r="E518" s="396"/>
      <c r="F518" s="396"/>
      <c r="G518" s="379"/>
      <c r="H518" s="110"/>
      <c r="T518" s="65"/>
      <c r="U518" s="65"/>
      <c r="V518" s="65"/>
    </row>
    <row r="519" spans="1:22" ht="12.75">
      <c r="A519" s="224">
        <f>A514+1</f>
        <v>235</v>
      </c>
      <c r="B519" s="303" t="s">
        <v>767</v>
      </c>
      <c r="C519" s="236"/>
      <c r="D519" s="82" t="s">
        <v>768</v>
      </c>
      <c r="E519" s="84" t="s">
        <v>776</v>
      </c>
      <c r="F519" s="141">
        <f>0.5*1.1+2*0.6*0.6+0.9*0.6+0.4*1.45</f>
        <v>2.39</v>
      </c>
      <c r="G519" s="369"/>
      <c r="H519" s="85">
        <f aca="true" t="shared" si="33" ref="H519:H526">F519*G519</f>
        <v>0</v>
      </c>
      <c r="I519" s="157" t="s">
        <v>112</v>
      </c>
      <c r="J519" s="278"/>
      <c r="K519" s="104"/>
      <c r="T519" s="65"/>
      <c r="U519" s="65"/>
      <c r="V519" s="65"/>
    </row>
    <row r="520" spans="1:22" ht="25.5">
      <c r="A520" s="224">
        <f>A519+1</f>
        <v>236</v>
      </c>
      <c r="B520" s="303" t="s">
        <v>499</v>
      </c>
      <c r="C520" s="236"/>
      <c r="D520" s="82" t="s">
        <v>815</v>
      </c>
      <c r="E520" s="84" t="s">
        <v>778</v>
      </c>
      <c r="F520" s="141">
        <v>5</v>
      </c>
      <c r="G520" s="369"/>
      <c r="H520" s="85">
        <f t="shared" si="33"/>
        <v>0</v>
      </c>
      <c r="I520" s="157" t="s">
        <v>112</v>
      </c>
      <c r="J520" s="278"/>
      <c r="K520" s="104"/>
      <c r="T520" s="65"/>
      <c r="U520" s="65"/>
      <c r="V520" s="65"/>
    </row>
    <row r="521" spans="1:22" ht="12.75">
      <c r="A521" s="224">
        <f>A520+1</f>
        <v>237</v>
      </c>
      <c r="B521" s="303" t="s">
        <v>880</v>
      </c>
      <c r="C521" s="277"/>
      <c r="D521" s="82" t="s">
        <v>881</v>
      </c>
      <c r="E521" s="84" t="s">
        <v>778</v>
      </c>
      <c r="F521" s="137">
        <v>3</v>
      </c>
      <c r="G521" s="369"/>
      <c r="H521" s="85">
        <f t="shared" si="33"/>
        <v>0</v>
      </c>
      <c r="I521" s="157" t="s">
        <v>112</v>
      </c>
      <c r="J521" s="278"/>
      <c r="K521" s="104"/>
      <c r="T521" s="65"/>
      <c r="U521" s="65"/>
      <c r="V521" s="65"/>
    </row>
    <row r="522" spans="1:22" ht="25.5">
      <c r="A522" s="224">
        <f aca="true" t="shared" si="34" ref="A522:A533">A521+1</f>
        <v>238</v>
      </c>
      <c r="B522" s="303" t="s">
        <v>769</v>
      </c>
      <c r="C522" s="236"/>
      <c r="D522" s="82" t="s">
        <v>821</v>
      </c>
      <c r="E522" s="84" t="s">
        <v>779</v>
      </c>
      <c r="F522" s="137">
        <f>4*2*0.25+2</f>
        <v>4</v>
      </c>
      <c r="G522" s="369"/>
      <c r="H522" s="85">
        <f t="shared" si="33"/>
        <v>0</v>
      </c>
      <c r="I522" s="157" t="s">
        <v>112</v>
      </c>
      <c r="J522" s="278"/>
      <c r="K522" s="104"/>
      <c r="T522" s="65"/>
      <c r="U522" s="65"/>
      <c r="V522" s="65"/>
    </row>
    <row r="523" spans="1:22" ht="12.75">
      <c r="A523" s="224">
        <f t="shared" si="34"/>
        <v>239</v>
      </c>
      <c r="B523" s="303" t="s">
        <v>384</v>
      </c>
      <c r="C523" s="236"/>
      <c r="D523" s="82" t="s">
        <v>882</v>
      </c>
      <c r="E523" s="84" t="s">
        <v>778</v>
      </c>
      <c r="F523" s="141">
        <v>2</v>
      </c>
      <c r="G523" s="369"/>
      <c r="H523" s="85">
        <f t="shared" si="33"/>
        <v>0</v>
      </c>
      <c r="I523" s="157" t="s">
        <v>112</v>
      </c>
      <c r="J523" s="278"/>
      <c r="K523" s="104"/>
      <c r="T523" s="65"/>
      <c r="U523" s="65"/>
      <c r="V523" s="65"/>
    </row>
    <row r="524" spans="1:22" ht="12.75">
      <c r="A524" s="224">
        <f t="shared" si="34"/>
        <v>240</v>
      </c>
      <c r="B524" s="303" t="s">
        <v>382</v>
      </c>
      <c r="C524" s="236"/>
      <c r="D524" s="82" t="s">
        <v>770</v>
      </c>
      <c r="E524" s="84" t="s">
        <v>778</v>
      </c>
      <c r="F524" s="137">
        <v>8</v>
      </c>
      <c r="G524" s="369"/>
      <c r="H524" s="85">
        <f t="shared" si="33"/>
        <v>0</v>
      </c>
      <c r="I524" s="157" t="s">
        <v>112</v>
      </c>
      <c r="J524" s="278"/>
      <c r="K524" s="104"/>
      <c r="T524" s="65"/>
      <c r="U524" s="65"/>
      <c r="V524" s="65"/>
    </row>
    <row r="525" spans="1:22" ht="12.75">
      <c r="A525" s="224">
        <f t="shared" si="34"/>
        <v>241</v>
      </c>
      <c r="B525" s="303" t="s">
        <v>383</v>
      </c>
      <c r="C525" s="236"/>
      <c r="D525" s="82" t="s">
        <v>381</v>
      </c>
      <c r="E525" s="84" t="s">
        <v>779</v>
      </c>
      <c r="F525" s="137">
        <v>5</v>
      </c>
      <c r="G525" s="369"/>
      <c r="H525" s="85">
        <f t="shared" si="33"/>
        <v>0</v>
      </c>
      <c r="I525" s="157" t="s">
        <v>112</v>
      </c>
      <c r="J525" s="278"/>
      <c r="K525" s="104"/>
      <c r="T525" s="65"/>
      <c r="U525" s="65"/>
      <c r="V525" s="65"/>
    </row>
    <row r="526" spans="1:22" ht="25.5">
      <c r="A526" s="224">
        <f t="shared" si="34"/>
        <v>242</v>
      </c>
      <c r="B526" s="303" t="s">
        <v>280</v>
      </c>
      <c r="C526" s="195"/>
      <c r="D526" s="82" t="s">
        <v>281</v>
      </c>
      <c r="E526" s="82" t="s">
        <v>779</v>
      </c>
      <c r="F526" s="141">
        <v>3</v>
      </c>
      <c r="G526" s="369"/>
      <c r="H526" s="85">
        <f t="shared" si="33"/>
        <v>0</v>
      </c>
      <c r="I526" s="157" t="s">
        <v>112</v>
      </c>
      <c r="J526" s="278"/>
      <c r="K526" s="104"/>
      <c r="T526" s="65"/>
      <c r="U526" s="65"/>
      <c r="V526" s="65"/>
    </row>
    <row r="527" spans="1:22" ht="12.75">
      <c r="A527" s="224">
        <f t="shared" si="34"/>
        <v>243</v>
      </c>
      <c r="B527" s="303" t="s">
        <v>401</v>
      </c>
      <c r="C527" s="195"/>
      <c r="D527" s="82" t="s">
        <v>402</v>
      </c>
      <c r="E527" s="84" t="s">
        <v>778</v>
      </c>
      <c r="F527" s="141">
        <v>8</v>
      </c>
      <c r="G527" s="369"/>
      <c r="H527" s="85">
        <f aca="true" t="shared" si="35" ref="H527:H545">F527*G527</f>
        <v>0</v>
      </c>
      <c r="I527" s="157" t="s">
        <v>112</v>
      </c>
      <c r="J527" s="278"/>
      <c r="K527" s="104"/>
      <c r="T527" s="65"/>
      <c r="U527" s="65"/>
      <c r="V527" s="65"/>
    </row>
    <row r="528" spans="1:22" ht="25.5">
      <c r="A528" s="224">
        <f t="shared" si="34"/>
        <v>244</v>
      </c>
      <c r="B528" s="303" t="s">
        <v>737</v>
      </c>
      <c r="C528" s="236"/>
      <c r="D528" s="196" t="s">
        <v>885</v>
      </c>
      <c r="E528" s="197" t="s">
        <v>778</v>
      </c>
      <c r="F528" s="198">
        <v>4</v>
      </c>
      <c r="G528" s="374"/>
      <c r="H528" s="199">
        <f t="shared" si="35"/>
        <v>0</v>
      </c>
      <c r="I528" s="157" t="s">
        <v>112</v>
      </c>
      <c r="J528" s="278"/>
      <c r="K528" s="104"/>
      <c r="L528" s="158"/>
      <c r="T528" s="65"/>
      <c r="U528" s="65"/>
      <c r="V528" s="65"/>
    </row>
    <row r="529" spans="1:22" ht="25.5">
      <c r="A529" s="224">
        <f t="shared" si="34"/>
        <v>245</v>
      </c>
      <c r="B529" s="303" t="s">
        <v>738</v>
      </c>
      <c r="C529" s="236"/>
      <c r="D529" s="196" t="s">
        <v>886</v>
      </c>
      <c r="E529" s="197" t="s">
        <v>778</v>
      </c>
      <c r="F529" s="198">
        <v>4</v>
      </c>
      <c r="G529" s="374"/>
      <c r="H529" s="199">
        <f t="shared" si="35"/>
        <v>0</v>
      </c>
      <c r="I529" s="157" t="s">
        <v>112</v>
      </c>
      <c r="J529" s="278"/>
      <c r="K529" s="104"/>
      <c r="L529" s="158"/>
      <c r="T529" s="65"/>
      <c r="U529" s="65"/>
      <c r="V529" s="65"/>
    </row>
    <row r="530" spans="1:22" ht="12.75">
      <c r="A530" s="224">
        <f t="shared" si="34"/>
        <v>246</v>
      </c>
      <c r="B530" s="303" t="s">
        <v>403</v>
      </c>
      <c r="C530" s="195"/>
      <c r="D530" s="82" t="s">
        <v>404</v>
      </c>
      <c r="E530" s="84" t="s">
        <v>778</v>
      </c>
      <c r="F530" s="141">
        <v>1</v>
      </c>
      <c r="G530" s="369"/>
      <c r="H530" s="85">
        <f t="shared" si="35"/>
        <v>0</v>
      </c>
      <c r="I530" s="157" t="s">
        <v>112</v>
      </c>
      <c r="J530" s="278"/>
      <c r="K530" s="104"/>
      <c r="T530" s="65"/>
      <c r="U530" s="65"/>
      <c r="V530" s="65"/>
    </row>
    <row r="531" spans="1:22" ht="26.25" customHeight="1">
      <c r="A531" s="224">
        <f t="shared" si="34"/>
        <v>247</v>
      </c>
      <c r="B531" s="303" t="s">
        <v>63</v>
      </c>
      <c r="C531" s="236" t="s">
        <v>736</v>
      </c>
      <c r="D531" s="196" t="s">
        <v>735</v>
      </c>
      <c r="E531" s="197" t="s">
        <v>778</v>
      </c>
      <c r="F531" s="198">
        <v>1</v>
      </c>
      <c r="G531" s="374"/>
      <c r="H531" s="199">
        <f t="shared" si="35"/>
        <v>0</v>
      </c>
      <c r="I531" s="157" t="s">
        <v>112</v>
      </c>
      <c r="J531" s="278"/>
      <c r="K531" s="104"/>
      <c r="L531" s="158"/>
      <c r="T531" s="65"/>
      <c r="U531" s="65"/>
      <c r="V531" s="65"/>
    </row>
    <row r="532" spans="1:22" ht="12.75">
      <c r="A532" s="224">
        <f t="shared" si="34"/>
        <v>248</v>
      </c>
      <c r="B532" s="303" t="s">
        <v>443</v>
      </c>
      <c r="C532" s="195" t="s">
        <v>321</v>
      </c>
      <c r="D532" s="82" t="s">
        <v>884</v>
      </c>
      <c r="E532" s="84" t="s">
        <v>778</v>
      </c>
      <c r="F532" s="141">
        <v>5</v>
      </c>
      <c r="G532" s="369"/>
      <c r="H532" s="85">
        <f t="shared" si="35"/>
        <v>0</v>
      </c>
      <c r="I532" s="157" t="s">
        <v>112</v>
      </c>
      <c r="J532" s="278"/>
      <c r="K532" s="104"/>
      <c r="T532" s="65"/>
      <c r="U532" s="65"/>
      <c r="V532" s="65"/>
    </row>
    <row r="533" spans="1:22" ht="16.5">
      <c r="A533" s="224">
        <f t="shared" si="34"/>
        <v>249</v>
      </c>
      <c r="B533" s="303" t="s">
        <v>638</v>
      </c>
      <c r="C533" s="195" t="s">
        <v>792</v>
      </c>
      <c r="D533" s="82" t="s">
        <v>772</v>
      </c>
      <c r="E533" s="82" t="s">
        <v>778</v>
      </c>
      <c r="F533" s="137">
        <v>3</v>
      </c>
      <c r="G533" s="369"/>
      <c r="H533" s="85">
        <f t="shared" si="35"/>
        <v>0</v>
      </c>
      <c r="I533" s="157" t="s">
        <v>112</v>
      </c>
      <c r="J533" s="278"/>
      <c r="K533" s="104"/>
      <c r="L533" s="158"/>
      <c r="T533" s="65"/>
      <c r="U533" s="65"/>
      <c r="V533" s="65"/>
    </row>
    <row r="534" spans="1:22" ht="25.5">
      <c r="A534" s="224">
        <f aca="true" t="shared" si="36" ref="A534:A548">A533+1</f>
        <v>250</v>
      </c>
      <c r="B534" s="303" t="s">
        <v>636</v>
      </c>
      <c r="C534" s="236" t="s">
        <v>791</v>
      </c>
      <c r="D534" s="196" t="s">
        <v>629</v>
      </c>
      <c r="E534" s="197" t="s">
        <v>778</v>
      </c>
      <c r="F534" s="198">
        <v>1</v>
      </c>
      <c r="G534" s="374"/>
      <c r="H534" s="199">
        <f t="shared" si="35"/>
        <v>0</v>
      </c>
      <c r="I534" s="157" t="s">
        <v>112</v>
      </c>
      <c r="J534" s="278"/>
      <c r="K534" s="104"/>
      <c r="L534" s="158"/>
      <c r="T534" s="65"/>
      <c r="U534" s="65"/>
      <c r="V534" s="65"/>
    </row>
    <row r="535" spans="1:22" ht="25.5">
      <c r="A535" s="224">
        <f t="shared" si="36"/>
        <v>251</v>
      </c>
      <c r="B535" s="303" t="s">
        <v>378</v>
      </c>
      <c r="C535" s="236" t="s">
        <v>791</v>
      </c>
      <c r="D535" s="196" t="s">
        <v>377</v>
      </c>
      <c r="E535" s="197" t="s">
        <v>778</v>
      </c>
      <c r="F535" s="198">
        <v>1</v>
      </c>
      <c r="G535" s="374"/>
      <c r="H535" s="199">
        <f>F535*G535</f>
        <v>0</v>
      </c>
      <c r="I535" s="157" t="s">
        <v>112</v>
      </c>
      <c r="J535" s="278"/>
      <c r="K535" s="104"/>
      <c r="L535" s="158"/>
      <c r="T535" s="65"/>
      <c r="U535" s="65"/>
      <c r="V535" s="65"/>
    </row>
    <row r="536" spans="1:22" ht="25.5">
      <c r="A536" s="224">
        <f t="shared" si="36"/>
        <v>252</v>
      </c>
      <c r="B536" s="303" t="s">
        <v>634</v>
      </c>
      <c r="C536" s="236" t="s">
        <v>791</v>
      </c>
      <c r="D536" s="196" t="s">
        <v>630</v>
      </c>
      <c r="E536" s="197" t="s">
        <v>778</v>
      </c>
      <c r="F536" s="198">
        <v>1</v>
      </c>
      <c r="G536" s="374"/>
      <c r="H536" s="199">
        <f>F536*G536</f>
        <v>0</v>
      </c>
      <c r="I536" s="157" t="s">
        <v>112</v>
      </c>
      <c r="J536" s="278"/>
      <c r="K536" s="104"/>
      <c r="L536" s="158"/>
      <c r="T536" s="65"/>
      <c r="U536" s="65"/>
      <c r="V536" s="65"/>
    </row>
    <row r="537" spans="1:22" ht="16.5">
      <c r="A537" s="224">
        <f t="shared" si="36"/>
        <v>253</v>
      </c>
      <c r="B537" s="303" t="s">
        <v>639</v>
      </c>
      <c r="C537" s="195" t="s">
        <v>792</v>
      </c>
      <c r="D537" s="82" t="s">
        <v>631</v>
      </c>
      <c r="E537" s="82" t="s">
        <v>778</v>
      </c>
      <c r="F537" s="137">
        <v>1</v>
      </c>
      <c r="G537" s="369"/>
      <c r="H537" s="85">
        <f>F537*G537</f>
        <v>0</v>
      </c>
      <c r="I537" s="157" t="s">
        <v>112</v>
      </c>
      <c r="J537" s="278"/>
      <c r="K537" s="104"/>
      <c r="L537" s="158"/>
      <c r="T537" s="65"/>
      <c r="U537" s="65"/>
      <c r="V537" s="65"/>
    </row>
    <row r="538" spans="1:22" ht="25.5">
      <c r="A538" s="224">
        <f t="shared" si="36"/>
        <v>254</v>
      </c>
      <c r="B538" s="303" t="s">
        <v>640</v>
      </c>
      <c r="C538" s="236" t="s">
        <v>791</v>
      </c>
      <c r="D538" s="196" t="s">
        <v>637</v>
      </c>
      <c r="E538" s="197" t="s">
        <v>778</v>
      </c>
      <c r="F538" s="198">
        <v>1</v>
      </c>
      <c r="G538" s="374"/>
      <c r="H538" s="199">
        <f>F538*G538</f>
        <v>0</v>
      </c>
      <c r="I538" s="157" t="s">
        <v>112</v>
      </c>
      <c r="J538" s="278"/>
      <c r="K538" s="104"/>
      <c r="L538" s="158"/>
      <c r="T538" s="65"/>
      <c r="U538" s="65"/>
      <c r="V538" s="65"/>
    </row>
    <row r="539" spans="1:22" ht="16.5">
      <c r="A539" s="224">
        <f t="shared" si="36"/>
        <v>255</v>
      </c>
      <c r="B539" s="303" t="s">
        <v>771</v>
      </c>
      <c r="C539" s="195"/>
      <c r="D539" s="82" t="s">
        <v>635</v>
      </c>
      <c r="E539" s="82" t="s">
        <v>778</v>
      </c>
      <c r="F539" s="141">
        <f>+F533</f>
        <v>3</v>
      </c>
      <c r="G539" s="369"/>
      <c r="H539" s="85">
        <f t="shared" si="35"/>
        <v>0</v>
      </c>
      <c r="I539" s="157" t="s">
        <v>112</v>
      </c>
      <c r="J539" s="278"/>
      <c r="K539" s="104"/>
      <c r="L539" s="232"/>
      <c r="T539" s="65"/>
      <c r="U539" s="65"/>
      <c r="V539" s="65"/>
    </row>
    <row r="540" spans="1:22" ht="16.5">
      <c r="A540" s="224">
        <f t="shared" si="36"/>
        <v>256</v>
      </c>
      <c r="B540" s="303" t="s">
        <v>632</v>
      </c>
      <c r="C540" s="195"/>
      <c r="D540" s="82" t="s">
        <v>633</v>
      </c>
      <c r="E540" s="82" t="s">
        <v>778</v>
      </c>
      <c r="F540" s="141">
        <v>1</v>
      </c>
      <c r="G540" s="369"/>
      <c r="H540" s="85">
        <f>F540*G540</f>
        <v>0</v>
      </c>
      <c r="I540" s="157" t="s">
        <v>112</v>
      </c>
      <c r="J540" s="278"/>
      <c r="K540" s="104"/>
      <c r="L540" s="232"/>
      <c r="T540" s="65"/>
      <c r="U540" s="65"/>
      <c r="V540" s="65"/>
    </row>
    <row r="541" spans="1:22" ht="16.5">
      <c r="A541" s="224">
        <f t="shared" si="36"/>
        <v>257</v>
      </c>
      <c r="B541" s="303" t="s">
        <v>731</v>
      </c>
      <c r="C541" s="356" t="s">
        <v>792</v>
      </c>
      <c r="D541" s="82" t="s">
        <v>730</v>
      </c>
      <c r="E541" s="82" t="s">
        <v>778</v>
      </c>
      <c r="F541" s="141">
        <v>1</v>
      </c>
      <c r="G541" s="369"/>
      <c r="H541" s="85">
        <f t="shared" si="35"/>
        <v>0</v>
      </c>
      <c r="I541" s="157" t="s">
        <v>112</v>
      </c>
      <c r="J541" s="278"/>
      <c r="K541" s="104"/>
      <c r="L541" s="232"/>
      <c r="T541" s="65"/>
      <c r="U541" s="65"/>
      <c r="V541" s="65"/>
    </row>
    <row r="542" spans="1:22" ht="25.5">
      <c r="A542" s="224">
        <f t="shared" si="36"/>
        <v>258</v>
      </c>
      <c r="B542" s="303" t="s">
        <v>380</v>
      </c>
      <c r="C542" s="357" t="s">
        <v>791</v>
      </c>
      <c r="D542" s="196" t="s">
        <v>379</v>
      </c>
      <c r="E542" s="197" t="s">
        <v>778</v>
      </c>
      <c r="F542" s="198">
        <v>1</v>
      </c>
      <c r="G542" s="374"/>
      <c r="H542" s="199">
        <f t="shared" si="35"/>
        <v>0</v>
      </c>
      <c r="I542" s="157" t="s">
        <v>112</v>
      </c>
      <c r="J542" s="278"/>
      <c r="K542" s="104"/>
      <c r="L542" s="158"/>
      <c r="T542" s="65"/>
      <c r="U542" s="65"/>
      <c r="V542" s="65"/>
    </row>
    <row r="543" spans="1:22" ht="16.5">
      <c r="A543" s="224">
        <f t="shared" si="36"/>
        <v>259</v>
      </c>
      <c r="B543" s="303" t="s">
        <v>467</v>
      </c>
      <c r="C543" s="195"/>
      <c r="D543" s="82" t="s">
        <v>883</v>
      </c>
      <c r="E543" s="82" t="s">
        <v>775</v>
      </c>
      <c r="F543" s="141">
        <v>1</v>
      </c>
      <c r="G543" s="369"/>
      <c r="H543" s="85">
        <f t="shared" si="35"/>
        <v>0</v>
      </c>
      <c r="I543" s="157" t="s">
        <v>112</v>
      </c>
      <c r="J543" s="278"/>
      <c r="K543" s="104"/>
      <c r="L543" s="232"/>
      <c r="T543" s="65"/>
      <c r="U543" s="65"/>
      <c r="V543" s="65"/>
    </row>
    <row r="544" spans="1:22" ht="25.5">
      <c r="A544" s="224">
        <f t="shared" si="36"/>
        <v>260</v>
      </c>
      <c r="B544" s="303" t="s">
        <v>817</v>
      </c>
      <c r="C544" s="195"/>
      <c r="D544" s="82" t="s">
        <v>818</v>
      </c>
      <c r="E544" s="84" t="s">
        <v>778</v>
      </c>
      <c r="F544" s="141">
        <v>3</v>
      </c>
      <c r="G544" s="369"/>
      <c r="H544" s="85">
        <f t="shared" si="35"/>
        <v>0</v>
      </c>
      <c r="I544" s="157" t="s">
        <v>112</v>
      </c>
      <c r="J544" s="278"/>
      <c r="K544" s="104"/>
      <c r="T544" s="65"/>
      <c r="U544" s="65"/>
      <c r="V544" s="65"/>
    </row>
    <row r="545" spans="1:22" ht="12.75">
      <c r="A545" s="224">
        <f t="shared" si="36"/>
        <v>261</v>
      </c>
      <c r="B545" s="303" t="s">
        <v>626</v>
      </c>
      <c r="C545" s="195"/>
      <c r="D545" s="79" t="s">
        <v>627</v>
      </c>
      <c r="E545" s="84" t="s">
        <v>779</v>
      </c>
      <c r="F545" s="137">
        <f>4*0.35*2+2*2.6</f>
        <v>8</v>
      </c>
      <c r="G545" s="369"/>
      <c r="H545" s="85">
        <f t="shared" si="35"/>
        <v>0</v>
      </c>
      <c r="I545" s="157" t="s">
        <v>112</v>
      </c>
      <c r="J545" s="278"/>
      <c r="K545" s="104"/>
      <c r="T545" s="65"/>
      <c r="U545" s="65"/>
      <c r="V545" s="65"/>
    </row>
    <row r="546" spans="1:22" ht="25.5">
      <c r="A546" s="224">
        <f t="shared" si="36"/>
        <v>262</v>
      </c>
      <c r="B546" s="303" t="s">
        <v>625</v>
      </c>
      <c r="C546" s="195"/>
      <c r="D546" s="79" t="s">
        <v>628</v>
      </c>
      <c r="E546" s="84" t="s">
        <v>779</v>
      </c>
      <c r="F546" s="141">
        <f>+F525</f>
        <v>5</v>
      </c>
      <c r="G546" s="369"/>
      <c r="H546" s="85">
        <f>F546*G546</f>
        <v>0</v>
      </c>
      <c r="I546" s="157" t="s">
        <v>112</v>
      </c>
      <c r="J546" s="278"/>
      <c r="K546" s="104"/>
      <c r="T546" s="65"/>
      <c r="U546" s="65"/>
      <c r="V546" s="65"/>
    </row>
    <row r="547" spans="1:22" ht="12.75">
      <c r="A547" s="224">
        <f t="shared" si="36"/>
        <v>263</v>
      </c>
      <c r="B547" s="303" t="s">
        <v>42</v>
      </c>
      <c r="C547" s="195"/>
      <c r="D547" s="82" t="s">
        <v>722</v>
      </c>
      <c r="E547" s="84" t="s">
        <v>775</v>
      </c>
      <c r="F547" s="141">
        <v>1</v>
      </c>
      <c r="G547" s="369"/>
      <c r="H547" s="85">
        <f>F547*G547</f>
        <v>0</v>
      </c>
      <c r="I547" s="157" t="s">
        <v>112</v>
      </c>
      <c r="J547" s="278"/>
      <c r="K547" s="104"/>
      <c r="T547" s="65"/>
      <c r="U547" s="65"/>
      <c r="V547" s="65"/>
    </row>
    <row r="548" spans="1:22" ht="13.5" thickBot="1">
      <c r="A548" s="224">
        <f t="shared" si="36"/>
        <v>264</v>
      </c>
      <c r="B548" s="303" t="s">
        <v>347</v>
      </c>
      <c r="C548" s="195"/>
      <c r="D548" s="82" t="s">
        <v>426</v>
      </c>
      <c r="E548" s="84" t="s">
        <v>784</v>
      </c>
      <c r="F548" s="141">
        <f>+H525+H528+H529+H531+H534+H535+H536+H538+H542+H545+H546+H526+H532</f>
        <v>0</v>
      </c>
      <c r="G548" s="383"/>
      <c r="H548" s="209">
        <f>F548*G548</f>
        <v>0</v>
      </c>
      <c r="I548" s="157" t="s">
        <v>112</v>
      </c>
      <c r="J548" s="279"/>
      <c r="T548" s="65"/>
      <c r="U548" s="65"/>
      <c r="V548" s="65"/>
    </row>
    <row r="549" spans="1:22" ht="13.5" thickBot="1">
      <c r="A549" s="194"/>
      <c r="B549" s="303"/>
      <c r="C549" s="195"/>
      <c r="D549" s="95" t="s">
        <v>777</v>
      </c>
      <c r="E549" s="96"/>
      <c r="F549" s="202"/>
      <c r="G549" s="376"/>
      <c r="H549" s="88">
        <f>SUBTOTAL(9,H519:H548)</f>
        <v>0</v>
      </c>
      <c r="T549" s="65"/>
      <c r="U549" s="65"/>
      <c r="V549" s="65"/>
    </row>
    <row r="550" spans="1:22" ht="12.75">
      <c r="A550" s="194"/>
      <c r="B550" s="303"/>
      <c r="C550" s="195"/>
      <c r="D550" s="203"/>
      <c r="E550" s="187"/>
      <c r="F550" s="135"/>
      <c r="G550" s="380"/>
      <c r="H550" s="188"/>
      <c r="T550" s="65"/>
      <c r="U550" s="65"/>
      <c r="V550" s="65"/>
    </row>
    <row r="551" spans="1:22" ht="16.5">
      <c r="A551" s="194"/>
      <c r="B551" s="303"/>
      <c r="C551" s="237" t="s">
        <v>211</v>
      </c>
      <c r="D551" s="117" t="s">
        <v>240</v>
      </c>
      <c r="E551" s="117"/>
      <c r="F551" s="140"/>
      <c r="G551" s="392"/>
      <c r="H551" s="117"/>
      <c r="T551" s="65"/>
      <c r="U551" s="65"/>
      <c r="V551" s="65"/>
    </row>
    <row r="552" spans="1:22" ht="62.25" customHeight="1">
      <c r="A552" s="194"/>
      <c r="B552" s="303"/>
      <c r="C552" s="210"/>
      <c r="D552" s="396" t="s">
        <v>239</v>
      </c>
      <c r="E552" s="396"/>
      <c r="F552" s="396"/>
      <c r="G552" s="379"/>
      <c r="H552" s="110"/>
      <c r="T552" s="65"/>
      <c r="U552" s="65"/>
      <c r="V552" s="65"/>
    </row>
    <row r="553" spans="1:22" ht="12.75">
      <c r="A553" s="194">
        <f>A548+1</f>
        <v>265</v>
      </c>
      <c r="B553" s="303" t="s">
        <v>385</v>
      </c>
      <c r="C553" s="195"/>
      <c r="D553" s="94" t="s">
        <v>174</v>
      </c>
      <c r="E553" s="84" t="s">
        <v>779</v>
      </c>
      <c r="F553" s="141">
        <v>2.4</v>
      </c>
      <c r="G553" s="369"/>
      <c r="H553" s="85">
        <f aca="true" t="shared" si="37" ref="H553:H558">F553*G553</f>
        <v>0</v>
      </c>
      <c r="I553" s="157" t="s">
        <v>112</v>
      </c>
      <c r="J553" s="279"/>
      <c r="T553" s="65"/>
      <c r="U553" s="65"/>
      <c r="V553" s="65"/>
    </row>
    <row r="554" spans="1:22" ht="12.75">
      <c r="A554" s="224">
        <f>A553+1</f>
        <v>266</v>
      </c>
      <c r="B554" s="303" t="s">
        <v>59</v>
      </c>
      <c r="C554" s="195"/>
      <c r="D554" s="82" t="s">
        <v>46</v>
      </c>
      <c r="E554" s="84" t="s">
        <v>84</v>
      </c>
      <c r="F554" s="141">
        <v>1</v>
      </c>
      <c r="G554" s="369"/>
      <c r="H554" s="85">
        <f>F554*G554</f>
        <v>0</v>
      </c>
      <c r="I554" s="157" t="s">
        <v>112</v>
      </c>
      <c r="J554" s="279"/>
      <c r="T554" s="65"/>
      <c r="U554" s="65"/>
      <c r="V554" s="65"/>
    </row>
    <row r="555" spans="1:22" ht="12.75">
      <c r="A555" s="224">
        <f aca="true" t="shared" si="38" ref="A555:A560">A554+1</f>
        <v>267</v>
      </c>
      <c r="B555" s="303" t="s">
        <v>785</v>
      </c>
      <c r="C555" s="195"/>
      <c r="D555" s="201" t="s">
        <v>786</v>
      </c>
      <c r="E555" s="84" t="s">
        <v>780</v>
      </c>
      <c r="F555" s="137">
        <f>0.0022*F553+0.045</f>
        <v>0.05028</v>
      </c>
      <c r="G555" s="369"/>
      <c r="H555" s="85">
        <f t="shared" si="37"/>
        <v>0</v>
      </c>
      <c r="I555" s="157" t="s">
        <v>112</v>
      </c>
      <c r="J555" s="278"/>
      <c r="K555" s="104"/>
      <c r="R555" s="1">
        <f>SUM(R553:R553)</f>
        <v>0</v>
      </c>
      <c r="T555" s="65"/>
      <c r="U555" s="65"/>
      <c r="V555" s="65"/>
    </row>
    <row r="556" spans="1:22" ht="12.75">
      <c r="A556" s="224">
        <f t="shared" si="38"/>
        <v>268</v>
      </c>
      <c r="B556" s="303" t="s">
        <v>887</v>
      </c>
      <c r="C556" s="195"/>
      <c r="D556" s="201" t="s">
        <v>595</v>
      </c>
      <c r="E556" s="84" t="s">
        <v>778</v>
      </c>
      <c r="F556" s="141">
        <v>1</v>
      </c>
      <c r="G556" s="369"/>
      <c r="H556" s="85">
        <f t="shared" si="37"/>
        <v>0</v>
      </c>
      <c r="I556" s="157" t="s">
        <v>112</v>
      </c>
      <c r="J556" s="279"/>
      <c r="Q556" s="113"/>
      <c r="T556" s="65"/>
      <c r="U556" s="65"/>
      <c r="V556" s="65"/>
    </row>
    <row r="557" spans="1:25" ht="38.25">
      <c r="A557" s="224">
        <f t="shared" si="38"/>
        <v>269</v>
      </c>
      <c r="B557" s="303" t="s">
        <v>340</v>
      </c>
      <c r="C557" s="195"/>
      <c r="D557" s="233" t="s">
        <v>95</v>
      </c>
      <c r="E557" s="84" t="s">
        <v>778</v>
      </c>
      <c r="F557" s="141">
        <v>1</v>
      </c>
      <c r="G557" s="369"/>
      <c r="H557" s="85">
        <f t="shared" si="37"/>
        <v>0</v>
      </c>
      <c r="I557" s="157" t="s">
        <v>112</v>
      </c>
      <c r="J557" s="278"/>
      <c r="K557" s="155"/>
      <c r="L557" s="158" t="s">
        <v>96</v>
      </c>
      <c r="N557" s="113"/>
      <c r="S557" s="158" t="s">
        <v>339</v>
      </c>
      <c r="T557" s="65"/>
      <c r="U557" s="65"/>
      <c r="V557" s="65"/>
      <c r="W557" s="108"/>
      <c r="X557" s="108"/>
      <c r="Y557" s="108"/>
    </row>
    <row r="558" spans="1:25" ht="25.5">
      <c r="A558" s="224">
        <f t="shared" si="38"/>
        <v>270</v>
      </c>
      <c r="B558" s="303" t="s">
        <v>97</v>
      </c>
      <c r="C558" s="195"/>
      <c r="D558" s="233" t="s">
        <v>98</v>
      </c>
      <c r="E558" s="84" t="s">
        <v>778</v>
      </c>
      <c r="F558" s="141">
        <v>1</v>
      </c>
      <c r="G558" s="369"/>
      <c r="H558" s="85">
        <f t="shared" si="37"/>
        <v>0</v>
      </c>
      <c r="I558" s="157" t="s">
        <v>112</v>
      </c>
      <c r="J558" s="278"/>
      <c r="K558" s="155"/>
      <c r="L558" s="158" t="s">
        <v>99</v>
      </c>
      <c r="N558" s="113"/>
      <c r="S558" s="158"/>
      <c r="T558" s="65"/>
      <c r="U558" s="65"/>
      <c r="V558" s="65"/>
      <c r="W558" s="108"/>
      <c r="X558" s="108"/>
      <c r="Y558" s="108"/>
    </row>
    <row r="559" spans="1:25" ht="16.5">
      <c r="A559" s="224">
        <f t="shared" si="38"/>
        <v>271</v>
      </c>
      <c r="B559" s="303" t="s">
        <v>41</v>
      </c>
      <c r="C559" s="195"/>
      <c r="D559" s="94" t="s">
        <v>816</v>
      </c>
      <c r="E559" s="84" t="s">
        <v>775</v>
      </c>
      <c r="F559" s="137">
        <v>1</v>
      </c>
      <c r="G559" s="369"/>
      <c r="H559" s="85">
        <f>F559*G559</f>
        <v>0</v>
      </c>
      <c r="I559" s="157" t="s">
        <v>112</v>
      </c>
      <c r="J559" s="278"/>
      <c r="K559" s="155"/>
      <c r="T559" s="65"/>
      <c r="U559" s="65"/>
      <c r="V559" s="65"/>
      <c r="W559" s="108"/>
      <c r="X559" s="114"/>
      <c r="Y559" s="108"/>
    </row>
    <row r="560" spans="1:25" ht="16.5">
      <c r="A560" s="224">
        <f t="shared" si="38"/>
        <v>272</v>
      </c>
      <c r="B560" s="303" t="s">
        <v>783</v>
      </c>
      <c r="C560" s="195"/>
      <c r="D560" s="201" t="s">
        <v>40</v>
      </c>
      <c r="E560" s="84" t="s">
        <v>511</v>
      </c>
      <c r="F560" s="141">
        <v>5</v>
      </c>
      <c r="G560" s="369"/>
      <c r="H560" s="85">
        <f>F560*G560</f>
        <v>0</v>
      </c>
      <c r="I560" s="157" t="s">
        <v>112</v>
      </c>
      <c r="J560" s="278"/>
      <c r="K560" s="155"/>
      <c r="T560" s="65"/>
      <c r="U560" s="65"/>
      <c r="V560" s="65"/>
      <c r="W560" s="108"/>
      <c r="X560" s="114"/>
      <c r="Y560" s="108"/>
    </row>
    <row r="561" spans="1:24" ht="17.25" thickBot="1">
      <c r="A561" s="224">
        <f>+A560+1</f>
        <v>273</v>
      </c>
      <c r="B561" s="303" t="s">
        <v>347</v>
      </c>
      <c r="C561" s="195"/>
      <c r="D561" s="82" t="s">
        <v>426</v>
      </c>
      <c r="E561" s="84" t="s">
        <v>784</v>
      </c>
      <c r="F561" s="141">
        <f>+H557+H558+H556</f>
        <v>0</v>
      </c>
      <c r="G561" s="383"/>
      <c r="H561" s="209">
        <f>F561*G561</f>
        <v>0</v>
      </c>
      <c r="I561" s="157" t="s">
        <v>112</v>
      </c>
      <c r="J561" s="279"/>
      <c r="T561" s="65"/>
      <c r="U561" s="65"/>
      <c r="V561" s="248"/>
      <c r="W561" s="114"/>
      <c r="X561" s="108"/>
    </row>
    <row r="562" spans="1:24" ht="17.25" thickBot="1">
      <c r="A562" s="194"/>
      <c r="B562" s="303"/>
      <c r="C562" s="195"/>
      <c r="D562" s="95" t="s">
        <v>777</v>
      </c>
      <c r="E562" s="96"/>
      <c r="F562" s="202"/>
      <c r="G562" s="97"/>
      <c r="H562" s="88">
        <f>SUBTOTAL(9,H553:H561)</f>
        <v>0</v>
      </c>
      <c r="T562" s="65"/>
      <c r="U562" s="65"/>
      <c r="V562" s="248"/>
      <c r="W562" s="114"/>
      <c r="X562" s="108"/>
    </row>
    <row r="563" spans="1:24" ht="12.75">
      <c r="A563" s="194"/>
      <c r="B563" s="303"/>
      <c r="C563" s="195"/>
      <c r="D563" s="203"/>
      <c r="E563" s="187"/>
      <c r="F563" s="135"/>
      <c r="H563" s="188"/>
      <c r="T563" s="65"/>
      <c r="U563" s="65"/>
      <c r="V563" s="248"/>
      <c r="W563" s="108"/>
      <c r="X563" s="108"/>
    </row>
    <row r="564" spans="1:24" ht="16.5">
      <c r="A564" s="194"/>
      <c r="B564" s="303"/>
      <c r="C564" s="237">
        <v>4</v>
      </c>
      <c r="D564" s="77" t="s">
        <v>129</v>
      </c>
      <c r="E564" s="77"/>
      <c r="F564" s="140"/>
      <c r="G564" s="318"/>
      <c r="H564" s="77"/>
      <c r="T564" s="65"/>
      <c r="U564" s="65"/>
      <c r="V564" s="248"/>
      <c r="W564" s="114"/>
      <c r="X564" s="108"/>
    </row>
    <row r="565" spans="1:24" ht="66" customHeight="1">
      <c r="A565" s="194"/>
      <c r="B565" s="303"/>
      <c r="C565" s="210"/>
      <c r="D565" s="396" t="s">
        <v>457</v>
      </c>
      <c r="E565" s="396"/>
      <c r="F565" s="396"/>
      <c r="G565" s="110"/>
      <c r="H565" s="110"/>
      <c r="T565" s="65"/>
      <c r="U565" s="65"/>
      <c r="V565" s="248"/>
      <c r="W565" s="114"/>
      <c r="X565" s="108"/>
    </row>
    <row r="566" spans="1:24" ht="16.5">
      <c r="A566" s="194">
        <f>A561+1</f>
        <v>274</v>
      </c>
      <c r="B566" s="303"/>
      <c r="C566" s="277"/>
      <c r="D566" s="82" t="s">
        <v>454</v>
      </c>
      <c r="E566" s="84" t="s">
        <v>84</v>
      </c>
      <c r="F566" s="141">
        <v>1</v>
      </c>
      <c r="G566" s="118">
        <f>ESA_ESI!H38</f>
        <v>0</v>
      </c>
      <c r="H566" s="85">
        <f>F566*G566</f>
        <v>0</v>
      </c>
      <c r="I566" s="157" t="s">
        <v>112</v>
      </c>
      <c r="J566" s="279"/>
      <c r="T566" s="65"/>
      <c r="U566" s="65"/>
      <c r="V566" s="248"/>
      <c r="W566" s="114"/>
      <c r="X566" s="108"/>
    </row>
    <row r="567" spans="1:24" ht="16.5">
      <c r="A567" s="194">
        <f>A566+1</f>
        <v>275</v>
      </c>
      <c r="B567" s="303"/>
      <c r="C567" s="277"/>
      <c r="D567" s="82" t="s">
        <v>455</v>
      </c>
      <c r="E567" s="84" t="s">
        <v>84</v>
      </c>
      <c r="F567" s="141">
        <v>1</v>
      </c>
      <c r="G567" s="118">
        <f>ESA_ESI!H51</f>
        <v>0</v>
      </c>
      <c r="H567" s="85">
        <f>F567*G567</f>
        <v>0</v>
      </c>
      <c r="I567" s="157" t="s">
        <v>112</v>
      </c>
      <c r="J567" s="279"/>
      <c r="T567" s="65"/>
      <c r="U567" s="65"/>
      <c r="V567" s="248"/>
      <c r="W567" s="114"/>
      <c r="X567" s="108"/>
    </row>
    <row r="568" spans="1:24" ht="17.25" thickBot="1">
      <c r="A568" s="194">
        <f>A567+1</f>
        <v>276</v>
      </c>
      <c r="B568" s="303"/>
      <c r="C568" s="277"/>
      <c r="D568" s="82" t="s">
        <v>222</v>
      </c>
      <c r="E568" s="84" t="s">
        <v>84</v>
      </c>
      <c r="F568" s="141">
        <v>1</v>
      </c>
      <c r="G568" s="118">
        <f>ESA_ESI!H56</f>
        <v>0</v>
      </c>
      <c r="H568" s="85">
        <f>F568*G568</f>
        <v>0</v>
      </c>
      <c r="I568" s="157" t="s">
        <v>112</v>
      </c>
      <c r="J568" s="279"/>
      <c r="T568" s="65"/>
      <c r="U568" s="65"/>
      <c r="V568" s="248"/>
      <c r="W568" s="114"/>
      <c r="X568" s="108"/>
    </row>
    <row r="569" spans="1:24" ht="13.5" thickBot="1">
      <c r="A569" s="194"/>
      <c r="B569" s="303"/>
      <c r="C569" s="195"/>
      <c r="D569" s="95" t="s">
        <v>777</v>
      </c>
      <c r="E569" s="96"/>
      <c r="F569" s="202"/>
      <c r="G569" s="97"/>
      <c r="H569" s="88">
        <f>SUBTOTAL(9,H566:H568)</f>
        <v>0</v>
      </c>
      <c r="T569" s="65"/>
      <c r="U569" s="65"/>
      <c r="V569" s="248"/>
      <c r="W569" s="108"/>
      <c r="X569" s="108"/>
    </row>
    <row r="570" spans="1:24" ht="12.75">
      <c r="A570" s="194"/>
      <c r="B570" s="303"/>
      <c r="C570" s="195"/>
      <c r="D570" s="203"/>
      <c r="E570" s="187"/>
      <c r="F570" s="135"/>
      <c r="H570" s="188"/>
      <c r="T570" s="65"/>
      <c r="U570" s="65"/>
      <c r="V570" s="248"/>
      <c r="W570" s="108"/>
      <c r="X570" s="108"/>
    </row>
    <row r="571" spans="1:22" ht="16.5">
      <c r="A571" s="194"/>
      <c r="B571" s="303"/>
      <c r="C571" s="237">
        <v>5</v>
      </c>
      <c r="D571" s="77" t="s">
        <v>130</v>
      </c>
      <c r="E571" s="77"/>
      <c r="F571" s="140"/>
      <c r="G571" s="318"/>
      <c r="H571" s="77"/>
      <c r="T571" s="65"/>
      <c r="U571" s="65"/>
      <c r="V571" s="65"/>
    </row>
    <row r="572" spans="1:22" ht="69.75" customHeight="1">
      <c r="A572" s="194"/>
      <c r="B572" s="303"/>
      <c r="C572" s="210"/>
      <c r="D572" s="396" t="s">
        <v>83</v>
      </c>
      <c r="E572" s="396"/>
      <c r="F572" s="396"/>
      <c r="G572" s="110"/>
      <c r="H572" s="110"/>
      <c r="K572" t="s">
        <v>127</v>
      </c>
      <c r="T572" s="65"/>
      <c r="U572" s="65"/>
      <c r="V572" s="65"/>
    </row>
    <row r="573" spans="1:22" ht="12.75">
      <c r="A573" s="194">
        <f>A568+1</f>
        <v>277</v>
      </c>
      <c r="B573" s="303"/>
      <c r="C573" s="195"/>
      <c r="D573" s="82" t="s">
        <v>106</v>
      </c>
      <c r="E573" s="84" t="s">
        <v>84</v>
      </c>
      <c r="F573" s="141">
        <v>1</v>
      </c>
      <c r="G573" s="118">
        <f>ESA_ESI!H73</f>
        <v>0</v>
      </c>
      <c r="H573" s="85">
        <f>F573*G573</f>
        <v>0</v>
      </c>
      <c r="I573" s="157" t="s">
        <v>112</v>
      </c>
      <c r="J573" s="289"/>
      <c r="T573" s="65"/>
      <c r="U573" s="65"/>
      <c r="V573" s="65"/>
    </row>
    <row r="574" spans="1:22" ht="13.5" thickBot="1">
      <c r="A574" s="194">
        <f>A573+1</f>
        <v>278</v>
      </c>
      <c r="B574" s="303"/>
      <c r="C574" s="195"/>
      <c r="D574" s="82" t="s">
        <v>222</v>
      </c>
      <c r="E574" s="84" t="s">
        <v>84</v>
      </c>
      <c r="F574" s="141">
        <v>1</v>
      </c>
      <c r="G574" s="118">
        <f>ESA_ESI!H78</f>
        <v>0</v>
      </c>
      <c r="H574" s="85">
        <f>F574*G574</f>
        <v>0</v>
      </c>
      <c r="I574" s="157" t="s">
        <v>112</v>
      </c>
      <c r="J574" s="279"/>
      <c r="T574" s="65"/>
      <c r="U574" s="65"/>
      <c r="V574" s="65"/>
    </row>
    <row r="575" spans="1:22" ht="13.5" thickBot="1">
      <c r="A575" s="194"/>
      <c r="B575" s="303"/>
      <c r="C575" s="195"/>
      <c r="D575" s="95" t="s">
        <v>777</v>
      </c>
      <c r="E575" s="96"/>
      <c r="F575" s="202"/>
      <c r="G575" s="97"/>
      <c r="H575" s="88">
        <f>SUBTOTAL(9,H573:H574)</f>
        <v>0</v>
      </c>
      <c r="T575" s="65"/>
      <c r="U575" s="65"/>
      <c r="V575" s="65"/>
    </row>
    <row r="576" spans="1:22" ht="12.75">
      <c r="A576" s="194"/>
      <c r="B576" s="303"/>
      <c r="C576" s="195"/>
      <c r="D576" s="203"/>
      <c r="E576" s="187"/>
      <c r="F576" s="135"/>
      <c r="H576" s="188"/>
      <c r="T576" s="65"/>
      <c r="U576" s="65"/>
      <c r="V576" s="65"/>
    </row>
    <row r="577" spans="1:22" ht="16.5">
      <c r="A577" s="207"/>
      <c r="B577" s="307"/>
      <c r="C577" s="210">
        <v>6</v>
      </c>
      <c r="D577" s="77" t="s">
        <v>805</v>
      </c>
      <c r="E577" s="77"/>
      <c r="F577" s="140"/>
      <c r="G577" s="318"/>
      <c r="H577" s="77"/>
      <c r="T577" s="65"/>
      <c r="U577" s="65"/>
      <c r="V577" s="65"/>
    </row>
    <row r="578" spans="1:22" ht="13.5" thickBot="1">
      <c r="A578" s="194">
        <f>A574+1</f>
        <v>279</v>
      </c>
      <c r="B578" s="303" t="s">
        <v>38</v>
      </c>
      <c r="C578" s="195" t="s">
        <v>128</v>
      </c>
      <c r="D578" s="82" t="s">
        <v>39</v>
      </c>
      <c r="E578" s="84" t="s">
        <v>778</v>
      </c>
      <c r="F578" s="141">
        <v>1</v>
      </c>
      <c r="G578" s="369"/>
      <c r="H578" s="85">
        <f>F578*G578</f>
        <v>0</v>
      </c>
      <c r="I578" s="157" t="s">
        <v>115</v>
      </c>
      <c r="J578" s="279"/>
      <c r="T578" s="65"/>
      <c r="U578" s="65"/>
      <c r="V578" s="65"/>
    </row>
    <row r="579" spans="1:22" ht="13.5" thickBot="1">
      <c r="A579" s="194"/>
      <c r="B579" s="303"/>
      <c r="C579" s="225"/>
      <c r="D579" s="95" t="s">
        <v>777</v>
      </c>
      <c r="E579" s="96"/>
      <c r="F579" s="202"/>
      <c r="G579" s="97"/>
      <c r="H579" s="217">
        <f>SUBTOTAL(9,H578:H578)</f>
        <v>0</v>
      </c>
      <c r="T579" s="65"/>
      <c r="U579" s="65"/>
      <c r="V579" s="65"/>
    </row>
  </sheetData>
  <sheetProtection password="C778" sheet="1" selectLockedCells="1"/>
  <mergeCells count="52">
    <mergeCell ref="D8:H8"/>
    <mergeCell ref="D74:H74"/>
    <mergeCell ref="D9:H9"/>
    <mergeCell ref="D10:H10"/>
    <mergeCell ref="D6:H6"/>
    <mergeCell ref="D75:H75"/>
    <mergeCell ref="D7:H7"/>
    <mergeCell ref="G36:H36"/>
    <mergeCell ref="D88:H88"/>
    <mergeCell ref="D78:H78"/>
    <mergeCell ref="D79:H79"/>
    <mergeCell ref="D83:H83"/>
    <mergeCell ref="D76:H76"/>
    <mergeCell ref="G45:H45"/>
    <mergeCell ref="D91:H91"/>
    <mergeCell ref="D97:H97"/>
    <mergeCell ref="D96:H96"/>
    <mergeCell ref="D77:H77"/>
    <mergeCell ref="D80:H80"/>
    <mergeCell ref="D92:H92"/>
    <mergeCell ref="D93:H93"/>
    <mergeCell ref="D82:H82"/>
    <mergeCell ref="D81:H81"/>
    <mergeCell ref="D84:H84"/>
    <mergeCell ref="D372:F372"/>
    <mergeCell ref="D393:F393"/>
    <mergeCell ref="D94:H94"/>
    <mergeCell ref="D95:H95"/>
    <mergeCell ref="D147:H147"/>
    <mergeCell ref="D130:H130"/>
    <mergeCell ref="D141:H141"/>
    <mergeCell ref="D143:H143"/>
    <mergeCell ref="D127:H127"/>
    <mergeCell ref="D334:F334"/>
    <mergeCell ref="D360:F360"/>
    <mergeCell ref="D231:F231"/>
    <mergeCell ref="D242:F242"/>
    <mergeCell ref="D85:H85"/>
    <mergeCell ref="D86:H86"/>
    <mergeCell ref="D87:H87"/>
    <mergeCell ref="D100:H100"/>
    <mergeCell ref="D101:H101"/>
    <mergeCell ref="D98:H98"/>
    <mergeCell ref="D89:H89"/>
    <mergeCell ref="D565:F565"/>
    <mergeCell ref="D572:F572"/>
    <mergeCell ref="D433:F433"/>
    <mergeCell ref="D447:F447"/>
    <mergeCell ref="D462:F462"/>
    <mergeCell ref="D492:F492"/>
    <mergeCell ref="D518:F518"/>
    <mergeCell ref="D552:F552"/>
  </mergeCells>
  <conditionalFormatting sqref="D74:D98">
    <cfRule type="expression" priority="21" dxfId="1" stopIfTrue="1">
      <formula>ISTEXT(D74)</formula>
    </cfRule>
  </conditionalFormatting>
  <hyperlinks>
    <hyperlink ref="L486" r:id="rId1" display="https://www.vodo-plasttop.cz/podomitkova-zapachova-uzaverka-hl405-sifon-prackovy"/>
    <hyperlink ref="D416:H416" location="Rekapitulace_2d" display="Izolace tepelné"/>
    <hyperlink ref="D551:H551" location="Rekapitulace_2h" display="Elektroinstalace - slaboproud"/>
    <hyperlink ref="D517:H517" location="Rekapitulace_2h" display="Elektroinstalace - slaboproud"/>
    <hyperlink ref="D392:H392" location="Rekapitulace_2m" display="Podlahy povlakové"/>
    <hyperlink ref="D371:H371" location="Rekapitulace_2l" display="Podlahy z dlaždic"/>
    <hyperlink ref="D359:H359" location="Rekapitulace_2k" display="Konstrukce zámečnické"/>
    <hyperlink ref="D333:H333" location="Rekapitulace_2j" display="Konstrukce truhlářské"/>
    <hyperlink ref="D571:H571" location="Rekapitulace_2h" display="Elektroinstalace - slaboproud"/>
    <hyperlink ref="D491:H491" location="Rekapitulace_2i" display="Vzduchotechnika"/>
    <hyperlink ref="D564:H564" location="Rekapitulace_2g" display="Elektroinstalace - silnoproud"/>
    <hyperlink ref="D461:H461" location="Rekapitulace_2f" display="Konstrukce klempířské"/>
    <hyperlink ref="D446:H446" location="Rekapitulace_2e" display="Kanalizace"/>
    <hyperlink ref="D432:H432" location="Rekapitulace_2d" display="Izolace tepelné"/>
    <hyperlink ref="D577:H577" location="Rekapitulace_Dokončovací_práce" display="Dokončovací práce"/>
    <hyperlink ref="D121" location="Doplňky_dodavatele" display="Doplňky dodavatele"/>
    <hyperlink ref="D23" location="Kapitola_2m" display="Kapitola_2m"/>
    <hyperlink ref="D22" location="Kapitola_2l" display="Kapitola_2l"/>
    <hyperlink ref="D21" location="Kapitola_2k" display="Kapitola_2k"/>
    <hyperlink ref="D20" location="Kapitola_2j" display="Kapitola_2j"/>
    <hyperlink ref="D33" location="Kapitola_2h" display="Kapitola_2h"/>
    <hyperlink ref="D32" location="Kapitola_2g" display="Kapitola_2g"/>
    <hyperlink ref="D28" location="Kapitola_2f" display="Kapitola_2f"/>
    <hyperlink ref="D27" location="Kapitola_2e" display="Kapitola_2e"/>
    <hyperlink ref="D26" location="Kapitola_2d" display="Kapitola_2d"/>
    <hyperlink ref="D19" location="Kapitola_2c" display="Kapitola_2c"/>
    <hyperlink ref="D18" location="Kapitola_2b" display="Kapitola_2b"/>
    <hyperlink ref="D241:H241" location="Rekapitulace_2c" display="Povlakové izolace proti vodě"/>
    <hyperlink ref="D230:H230" location="Rekapitulace_2b" display="Živičné izolace"/>
    <hyperlink ref="D34" location="Dokoncovaci_prace" display="Dokoncovaci_prace"/>
    <hyperlink ref="D207:H207" location="Rekapitulace_2" display="Stropní deska v úrovni terénu"/>
    <hyperlink ref="D15" location="Kapitola_1" display="Kapitola_1"/>
    <hyperlink ref="D16" location="Kapitola_2" display="Kapitola_2"/>
    <hyperlink ref="D147:H147" location="Rekapitulace_1" display="Bourací a přípravné práce"/>
    <hyperlink ref="L394" r:id="rId2" display="https://www.empiri.cz/dubove-parkety-vlysy-ii-trida-mensi-format/"/>
    <hyperlink ref="L404" r:id="rId3" display="https://www.drevene-listy-eshop.cz/drevene-listy/eshop/4-1-DUBOVE-LISTY/0/5/2-LISTA-PARKETOVA-dub"/>
    <hyperlink ref="L412" r:id="rId4" display="https://www.floorwood.cz/prechodova-lista-sroubovaci-obla-stribrna-e01/"/>
    <hyperlink ref="L225" r:id="rId5" display="https://www.mrizkydvirka.cz/Revizni-dvirka-300x400-mm-bila-d484.htm?tab=description"/>
    <hyperlink ref="L344" r:id="rId6" display="https://www.truhlarstvimicek.cz/dvere-vchodove-oliver"/>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0" r:id="rId7"/>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11"/>
  <sheetViews>
    <sheetView zoomScale="120" zoomScaleNormal="120" zoomScalePageLayoutView="130" workbookViewId="0" topLeftCell="A1">
      <selection activeCell="F9" sqref="F9"/>
    </sheetView>
  </sheetViews>
  <sheetFormatPr defaultColWidth="9.00390625" defaultRowHeight="12.75"/>
  <cols>
    <col min="1" max="1" width="2.75390625" style="65" customWidth="1"/>
    <col min="2" max="2" width="9.125" style="65" customWidth="1"/>
    <col min="3" max="3" width="45.75390625" style="65" bestFit="1" customWidth="1"/>
    <col min="4" max="4" width="4.375" style="65" bestFit="1" customWidth="1"/>
    <col min="5" max="5" width="7.125" style="65" bestFit="1" customWidth="1"/>
    <col min="6" max="8" width="11.25390625" style="65" bestFit="1" customWidth="1"/>
    <col min="9" max="9" width="17.75390625" style="155" customWidth="1"/>
    <col min="10" max="11" width="0" style="0" hidden="1" customWidth="1"/>
  </cols>
  <sheetData>
    <row r="1" spans="1:10" s="12" customFormat="1" ht="21" customHeight="1">
      <c r="A1" s="419" t="s">
        <v>822</v>
      </c>
      <c r="B1" s="419"/>
      <c r="C1" s="419"/>
      <c r="D1" s="419"/>
      <c r="E1" s="419"/>
      <c r="F1" s="419"/>
      <c r="G1" s="419"/>
      <c r="H1" s="419"/>
      <c r="I1" s="320"/>
      <c r="J1" s="320"/>
    </row>
    <row r="2" spans="1:10" s="12" customFormat="1" ht="24" customHeight="1">
      <c r="A2" s="321"/>
      <c r="B2" s="321"/>
      <c r="C2" s="322" t="s">
        <v>492</v>
      </c>
      <c r="D2" s="323"/>
      <c r="E2" s="323"/>
      <c r="F2" s="323"/>
      <c r="G2" s="323"/>
      <c r="H2" s="323"/>
      <c r="I2" s="345"/>
      <c r="J2" s="274"/>
    </row>
    <row r="3" spans="1:10" s="12" customFormat="1" ht="16.5" customHeight="1">
      <c r="A3" s="321"/>
      <c r="B3" s="321"/>
      <c r="C3" s="324" t="s">
        <v>493</v>
      </c>
      <c r="D3" s="323"/>
      <c r="E3" s="323"/>
      <c r="F3" s="323"/>
      <c r="G3" s="323"/>
      <c r="H3" s="323"/>
      <c r="I3" s="345"/>
      <c r="J3" s="274"/>
    </row>
    <row r="4" spans="1:10" s="12" customFormat="1" ht="11.25">
      <c r="A4" s="325"/>
      <c r="B4" s="325" t="s">
        <v>494</v>
      </c>
      <c r="C4" s="326" t="s">
        <v>495</v>
      </c>
      <c r="D4" s="327"/>
      <c r="E4" s="325" t="s">
        <v>781</v>
      </c>
      <c r="F4" s="325" t="s">
        <v>496</v>
      </c>
      <c r="G4" s="325" t="s">
        <v>497</v>
      </c>
      <c r="H4" s="325" t="s">
        <v>782</v>
      </c>
      <c r="I4" s="346" t="s">
        <v>529</v>
      </c>
      <c r="J4" s="274" t="s">
        <v>823</v>
      </c>
    </row>
    <row r="5" spans="1:10" s="12" customFormat="1" ht="13.5" customHeight="1">
      <c r="A5" s="325">
        <v>1</v>
      </c>
      <c r="B5" s="325">
        <v>210201064</v>
      </c>
      <c r="C5" s="327" t="s">
        <v>498</v>
      </c>
      <c r="D5" s="327" t="s">
        <v>778</v>
      </c>
      <c r="E5" s="327">
        <v>4</v>
      </c>
      <c r="F5" s="353"/>
      <c r="G5" s="353"/>
      <c r="H5" s="328">
        <f aca="true" t="shared" si="0" ref="H5:H37">(F5+G5)*E5</f>
        <v>0</v>
      </c>
      <c r="I5" s="347"/>
      <c r="J5" s="274">
        <f>E5*F5</f>
        <v>0</v>
      </c>
    </row>
    <row r="6" spans="1:10" s="12" customFormat="1" ht="13.5" customHeight="1">
      <c r="A6" s="325">
        <f aca="true" t="shared" si="1" ref="A6:A37">A5+1</f>
        <v>2</v>
      </c>
      <c r="B6" s="325">
        <v>210201064</v>
      </c>
      <c r="C6" s="327" t="s">
        <v>824</v>
      </c>
      <c r="D6" s="327" t="s">
        <v>778</v>
      </c>
      <c r="E6" s="327">
        <v>1</v>
      </c>
      <c r="F6" s="353"/>
      <c r="G6" s="353"/>
      <c r="H6" s="328">
        <f t="shared" si="0"/>
        <v>0</v>
      </c>
      <c r="I6" s="347"/>
      <c r="J6" s="274">
        <f aca="true" t="shared" si="2" ref="J6:J37">E6*F6</f>
        <v>0</v>
      </c>
    </row>
    <row r="7" spans="1:10" s="12" customFormat="1" ht="13.5" customHeight="1">
      <c r="A7" s="325">
        <f t="shared" si="1"/>
        <v>3</v>
      </c>
      <c r="B7" s="325">
        <v>210201064</v>
      </c>
      <c r="C7" s="327" t="s">
        <v>901</v>
      </c>
      <c r="D7" s="327" t="s">
        <v>778</v>
      </c>
      <c r="E7" s="327">
        <v>4</v>
      </c>
      <c r="F7" s="353"/>
      <c r="G7" s="353"/>
      <c r="H7" s="328">
        <f t="shared" si="0"/>
        <v>0</v>
      </c>
      <c r="I7" s="347"/>
      <c r="J7" s="274">
        <f t="shared" si="2"/>
        <v>0</v>
      </c>
    </row>
    <row r="8" spans="1:10" s="12" customFormat="1" ht="13.5" customHeight="1">
      <c r="A8" s="325">
        <f t="shared" si="1"/>
        <v>4</v>
      </c>
      <c r="B8" s="325">
        <v>210111011</v>
      </c>
      <c r="C8" s="327" t="s">
        <v>500</v>
      </c>
      <c r="D8" s="327" t="s">
        <v>778</v>
      </c>
      <c r="E8" s="327">
        <v>28</v>
      </c>
      <c r="F8" s="353"/>
      <c r="G8" s="353"/>
      <c r="H8" s="328">
        <f t="shared" si="0"/>
        <v>0</v>
      </c>
      <c r="I8" s="347"/>
      <c r="J8" s="274">
        <f t="shared" si="2"/>
        <v>0</v>
      </c>
    </row>
    <row r="9" spans="1:10" s="12" customFormat="1" ht="13.5" customHeight="1">
      <c r="A9" s="325">
        <f t="shared" si="1"/>
        <v>5</v>
      </c>
      <c r="B9" s="325">
        <v>210111011</v>
      </c>
      <c r="C9" s="327" t="s">
        <v>501</v>
      </c>
      <c r="D9" s="327" t="s">
        <v>778</v>
      </c>
      <c r="E9" s="327">
        <v>3</v>
      </c>
      <c r="F9" s="353"/>
      <c r="G9" s="353"/>
      <c r="H9" s="328">
        <f t="shared" si="0"/>
        <v>0</v>
      </c>
      <c r="I9" s="347"/>
      <c r="J9" s="274">
        <f t="shared" si="2"/>
        <v>0</v>
      </c>
    </row>
    <row r="10" spans="1:10" s="12" customFormat="1" ht="13.5" customHeight="1">
      <c r="A10" s="325">
        <f t="shared" si="1"/>
        <v>6</v>
      </c>
      <c r="B10" s="325">
        <v>210110001</v>
      </c>
      <c r="C10" s="327" t="s">
        <v>502</v>
      </c>
      <c r="D10" s="327" t="s">
        <v>778</v>
      </c>
      <c r="E10" s="327">
        <v>3</v>
      </c>
      <c r="F10" s="353"/>
      <c r="G10" s="353"/>
      <c r="H10" s="328">
        <f t="shared" si="0"/>
        <v>0</v>
      </c>
      <c r="I10" s="347"/>
      <c r="J10" s="274">
        <f t="shared" si="2"/>
        <v>0</v>
      </c>
    </row>
    <row r="11" spans="1:10" s="12" customFormat="1" ht="13.5" customHeight="1">
      <c r="A11" s="325">
        <f t="shared" si="1"/>
        <v>7</v>
      </c>
      <c r="B11" s="325">
        <v>210110045</v>
      </c>
      <c r="C11" s="327" t="s">
        <v>573</v>
      </c>
      <c r="D11" s="327" t="s">
        <v>778</v>
      </c>
      <c r="E11" s="327">
        <v>6</v>
      </c>
      <c r="F11" s="353"/>
      <c r="G11" s="353"/>
      <c r="H11" s="328">
        <f t="shared" si="0"/>
        <v>0</v>
      </c>
      <c r="I11" s="347"/>
      <c r="J11" s="274">
        <f t="shared" si="2"/>
        <v>0</v>
      </c>
    </row>
    <row r="12" spans="1:10" s="12" customFormat="1" ht="13.5" customHeight="1">
      <c r="A12" s="325">
        <f t="shared" si="1"/>
        <v>8</v>
      </c>
      <c r="B12" s="325">
        <v>210110046</v>
      </c>
      <c r="C12" s="327" t="s">
        <v>723</v>
      </c>
      <c r="D12" s="327" t="s">
        <v>778</v>
      </c>
      <c r="E12" s="327">
        <v>3</v>
      </c>
      <c r="F12" s="353"/>
      <c r="G12" s="353"/>
      <c r="H12" s="328">
        <f t="shared" si="0"/>
        <v>0</v>
      </c>
      <c r="I12" s="347"/>
      <c r="J12" s="274">
        <f t="shared" si="2"/>
        <v>0</v>
      </c>
    </row>
    <row r="13" spans="1:10" s="12" customFormat="1" ht="13.5" customHeight="1">
      <c r="A13" s="325">
        <f t="shared" si="1"/>
        <v>9</v>
      </c>
      <c r="B13" s="325" t="s">
        <v>499</v>
      </c>
      <c r="C13" s="327" t="s">
        <v>503</v>
      </c>
      <c r="D13" s="327" t="s">
        <v>778</v>
      </c>
      <c r="E13" s="327">
        <v>20</v>
      </c>
      <c r="F13" s="353"/>
      <c r="G13" s="353"/>
      <c r="H13" s="328">
        <f t="shared" si="0"/>
        <v>0</v>
      </c>
      <c r="I13" s="347"/>
      <c r="J13" s="274">
        <f t="shared" si="2"/>
        <v>0</v>
      </c>
    </row>
    <row r="14" spans="1:10" s="12" customFormat="1" ht="13.5" customHeight="1">
      <c r="A14" s="325">
        <f t="shared" si="1"/>
        <v>10</v>
      </c>
      <c r="B14" s="325" t="s">
        <v>499</v>
      </c>
      <c r="C14" s="327" t="s">
        <v>504</v>
      </c>
      <c r="D14" s="327" t="s">
        <v>778</v>
      </c>
      <c r="E14" s="327">
        <v>8</v>
      </c>
      <c r="F14" s="353"/>
      <c r="G14" s="353"/>
      <c r="H14" s="328">
        <f t="shared" si="0"/>
        <v>0</v>
      </c>
      <c r="I14" s="347"/>
      <c r="J14" s="274">
        <f t="shared" si="2"/>
        <v>0</v>
      </c>
    </row>
    <row r="15" spans="1:10" s="12" customFormat="1" ht="13.5" customHeight="1">
      <c r="A15" s="325">
        <f t="shared" si="1"/>
        <v>11</v>
      </c>
      <c r="B15" s="325" t="s">
        <v>499</v>
      </c>
      <c r="C15" s="329" t="s">
        <v>574</v>
      </c>
      <c r="D15" s="327" t="s">
        <v>778</v>
      </c>
      <c r="E15" s="329">
        <v>2</v>
      </c>
      <c r="F15" s="353"/>
      <c r="G15" s="353"/>
      <c r="H15" s="328">
        <f t="shared" si="0"/>
        <v>0</v>
      </c>
      <c r="I15" s="347"/>
      <c r="J15" s="274">
        <f t="shared" si="2"/>
        <v>0</v>
      </c>
    </row>
    <row r="16" spans="1:10" s="12" customFormat="1" ht="13.5" customHeight="1">
      <c r="A16" s="325">
        <f t="shared" si="1"/>
        <v>12</v>
      </c>
      <c r="B16" s="325" t="s">
        <v>499</v>
      </c>
      <c r="C16" s="327" t="s">
        <v>825</v>
      </c>
      <c r="D16" s="327" t="s">
        <v>778</v>
      </c>
      <c r="E16" s="327">
        <v>2</v>
      </c>
      <c r="F16" s="353"/>
      <c r="G16" s="353"/>
      <c r="H16" s="328">
        <f t="shared" si="0"/>
        <v>0</v>
      </c>
      <c r="I16" s="347"/>
      <c r="J16" s="274">
        <f t="shared" si="2"/>
        <v>0</v>
      </c>
    </row>
    <row r="17" spans="1:10" s="12" customFormat="1" ht="13.5" customHeight="1">
      <c r="A17" s="325">
        <f t="shared" si="1"/>
        <v>13</v>
      </c>
      <c r="B17" s="325">
        <v>210220321</v>
      </c>
      <c r="C17" s="327" t="s">
        <v>131</v>
      </c>
      <c r="D17" s="327" t="s">
        <v>778</v>
      </c>
      <c r="E17" s="327">
        <v>4</v>
      </c>
      <c r="F17" s="353"/>
      <c r="G17" s="353"/>
      <c r="H17" s="328">
        <f t="shared" si="0"/>
        <v>0</v>
      </c>
      <c r="I17" s="347"/>
      <c r="J17" s="274">
        <f t="shared" si="2"/>
        <v>0</v>
      </c>
    </row>
    <row r="18" spans="1:10" s="12" customFormat="1" ht="13.5" customHeight="1">
      <c r="A18" s="325">
        <f t="shared" si="1"/>
        <v>14</v>
      </c>
      <c r="B18" s="325">
        <v>210010301</v>
      </c>
      <c r="C18" s="327" t="s">
        <v>505</v>
      </c>
      <c r="D18" s="327" t="s">
        <v>778</v>
      </c>
      <c r="E18" s="327">
        <v>49</v>
      </c>
      <c r="F18" s="353"/>
      <c r="G18" s="353"/>
      <c r="H18" s="328">
        <f t="shared" si="0"/>
        <v>0</v>
      </c>
      <c r="I18" s="347"/>
      <c r="J18" s="274">
        <f t="shared" si="2"/>
        <v>0</v>
      </c>
    </row>
    <row r="19" spans="1:10" s="12" customFormat="1" ht="13.5" customHeight="1">
      <c r="A19" s="325">
        <f t="shared" si="1"/>
        <v>15</v>
      </c>
      <c r="B19" s="325">
        <v>210010321</v>
      </c>
      <c r="C19" s="327" t="s">
        <v>132</v>
      </c>
      <c r="D19" s="327" t="s">
        <v>778</v>
      </c>
      <c r="E19" s="327">
        <v>6</v>
      </c>
      <c r="F19" s="353"/>
      <c r="G19" s="353"/>
      <c r="H19" s="328">
        <f t="shared" si="0"/>
        <v>0</v>
      </c>
      <c r="I19" s="347"/>
      <c r="J19" s="274">
        <f t="shared" si="2"/>
        <v>0</v>
      </c>
    </row>
    <row r="20" spans="1:10" s="12" customFormat="1" ht="13.5" customHeight="1">
      <c r="A20" s="325">
        <f t="shared" si="1"/>
        <v>16</v>
      </c>
      <c r="B20" s="325">
        <v>211010011</v>
      </c>
      <c r="C20" s="327" t="s">
        <v>506</v>
      </c>
      <c r="D20" s="327" t="s">
        <v>778</v>
      </c>
      <c r="E20" s="327">
        <v>30</v>
      </c>
      <c r="F20" s="353"/>
      <c r="G20" s="353"/>
      <c r="H20" s="328">
        <f t="shared" si="0"/>
        <v>0</v>
      </c>
      <c r="I20" s="347"/>
      <c r="J20" s="274">
        <f t="shared" si="2"/>
        <v>0</v>
      </c>
    </row>
    <row r="21" spans="1:10" s="12" customFormat="1" ht="13.5" customHeight="1">
      <c r="A21" s="325">
        <f t="shared" si="1"/>
        <v>17</v>
      </c>
      <c r="B21" s="325">
        <v>210800024</v>
      </c>
      <c r="C21" s="327" t="s">
        <v>575</v>
      </c>
      <c r="D21" s="327" t="s">
        <v>779</v>
      </c>
      <c r="E21" s="327">
        <v>160</v>
      </c>
      <c r="F21" s="353"/>
      <c r="G21" s="353"/>
      <c r="H21" s="328">
        <f t="shared" si="0"/>
        <v>0</v>
      </c>
      <c r="I21" s="347"/>
      <c r="J21" s="274">
        <f t="shared" si="2"/>
        <v>0</v>
      </c>
    </row>
    <row r="22" spans="1:10" s="12" customFormat="1" ht="13.5" customHeight="1">
      <c r="A22" s="325">
        <f t="shared" si="1"/>
        <v>18</v>
      </c>
      <c r="B22" s="325">
        <v>210800022</v>
      </c>
      <c r="C22" s="327" t="s">
        <v>576</v>
      </c>
      <c r="D22" s="327" t="s">
        <v>779</v>
      </c>
      <c r="E22" s="327">
        <v>12</v>
      </c>
      <c r="F22" s="353"/>
      <c r="G22" s="353"/>
      <c r="H22" s="328">
        <f t="shared" si="0"/>
        <v>0</v>
      </c>
      <c r="I22" s="347"/>
      <c r="J22" s="274">
        <f t="shared" si="2"/>
        <v>0</v>
      </c>
    </row>
    <row r="23" spans="1:10" s="12" customFormat="1" ht="13.5" customHeight="1">
      <c r="A23" s="325">
        <f t="shared" si="1"/>
        <v>19</v>
      </c>
      <c r="B23" s="325">
        <v>210800023</v>
      </c>
      <c r="C23" s="327" t="s">
        <v>577</v>
      </c>
      <c r="D23" s="327" t="s">
        <v>779</v>
      </c>
      <c r="E23" s="327">
        <v>16</v>
      </c>
      <c r="F23" s="353"/>
      <c r="G23" s="353"/>
      <c r="H23" s="328">
        <f t="shared" si="0"/>
        <v>0</v>
      </c>
      <c r="I23" s="347"/>
      <c r="J23" s="274">
        <f t="shared" si="2"/>
        <v>0</v>
      </c>
    </row>
    <row r="24" spans="1:10" s="12" customFormat="1" ht="13.5" customHeight="1">
      <c r="A24" s="325">
        <f t="shared" si="1"/>
        <v>20</v>
      </c>
      <c r="B24" s="325">
        <v>210800023</v>
      </c>
      <c r="C24" s="327" t="s">
        <v>578</v>
      </c>
      <c r="D24" s="327" t="s">
        <v>779</v>
      </c>
      <c r="E24" s="327">
        <v>90</v>
      </c>
      <c r="F24" s="353"/>
      <c r="G24" s="353"/>
      <c r="H24" s="328">
        <f t="shared" si="0"/>
        <v>0</v>
      </c>
      <c r="I24" s="347"/>
      <c r="J24" s="274">
        <f t="shared" si="2"/>
        <v>0</v>
      </c>
    </row>
    <row r="25" spans="1:10" s="12" customFormat="1" ht="13.5" customHeight="1">
      <c r="A25" s="325">
        <f t="shared" si="1"/>
        <v>21</v>
      </c>
      <c r="B25" s="325">
        <v>210810115</v>
      </c>
      <c r="C25" s="327" t="s">
        <v>579</v>
      </c>
      <c r="D25" s="327" t="s">
        <v>779</v>
      </c>
      <c r="E25" s="327">
        <v>10</v>
      </c>
      <c r="F25" s="353"/>
      <c r="G25" s="353"/>
      <c r="H25" s="328">
        <f t="shared" si="0"/>
        <v>0</v>
      </c>
      <c r="I25" s="347"/>
      <c r="J25" s="274">
        <f t="shared" si="2"/>
        <v>0</v>
      </c>
    </row>
    <row r="26" spans="1:10" s="12" customFormat="1" ht="13.5" customHeight="1">
      <c r="A26" s="325">
        <f t="shared" si="1"/>
        <v>22</v>
      </c>
      <c r="B26" s="325">
        <v>210800506</v>
      </c>
      <c r="C26" s="327" t="s">
        <v>507</v>
      </c>
      <c r="D26" s="327" t="s">
        <v>779</v>
      </c>
      <c r="E26" s="327">
        <v>12</v>
      </c>
      <c r="F26" s="353"/>
      <c r="G26" s="353"/>
      <c r="H26" s="328">
        <f t="shared" si="0"/>
        <v>0</v>
      </c>
      <c r="I26" s="347"/>
      <c r="J26" s="274">
        <f t="shared" si="2"/>
        <v>0</v>
      </c>
    </row>
    <row r="27" spans="1:10" s="12" customFormat="1" ht="13.5" customHeight="1">
      <c r="A27" s="325">
        <f t="shared" si="1"/>
        <v>23</v>
      </c>
      <c r="B27" s="325">
        <v>210190001</v>
      </c>
      <c r="C27" s="327" t="s">
        <v>826</v>
      </c>
      <c r="D27" s="327" t="s">
        <v>778</v>
      </c>
      <c r="E27" s="327">
        <v>1</v>
      </c>
      <c r="F27" s="330"/>
      <c r="G27" s="353"/>
      <c r="H27" s="328">
        <f t="shared" si="0"/>
        <v>0</v>
      </c>
      <c r="I27" s="347"/>
      <c r="J27" s="274">
        <f t="shared" si="2"/>
        <v>0</v>
      </c>
    </row>
    <row r="28" spans="1:10" s="12" customFormat="1" ht="12.75" customHeight="1">
      <c r="A28" s="325">
        <f t="shared" si="1"/>
        <v>24</v>
      </c>
      <c r="B28" s="325">
        <v>210292041</v>
      </c>
      <c r="C28" s="327" t="s">
        <v>508</v>
      </c>
      <c r="D28" s="327" t="s">
        <v>778</v>
      </c>
      <c r="E28" s="327">
        <v>26</v>
      </c>
      <c r="F28" s="330"/>
      <c r="G28" s="353"/>
      <c r="H28" s="328">
        <f t="shared" si="0"/>
        <v>0</v>
      </c>
      <c r="I28" s="347"/>
      <c r="J28" s="274">
        <f t="shared" si="2"/>
        <v>0</v>
      </c>
    </row>
    <row r="29" spans="1:10" s="12" customFormat="1" ht="12.75" customHeight="1">
      <c r="A29" s="325">
        <f t="shared" si="1"/>
        <v>25</v>
      </c>
      <c r="B29" s="325">
        <v>210100001</v>
      </c>
      <c r="C29" s="327" t="s">
        <v>133</v>
      </c>
      <c r="D29" s="327" t="s">
        <v>778</v>
      </c>
      <c r="E29" s="327">
        <v>48</v>
      </c>
      <c r="F29" s="330"/>
      <c r="G29" s="353"/>
      <c r="H29" s="328">
        <f t="shared" si="0"/>
        <v>0</v>
      </c>
      <c r="I29" s="347"/>
      <c r="J29" s="274">
        <f t="shared" si="2"/>
        <v>0</v>
      </c>
    </row>
    <row r="30" spans="1:10" s="12" customFormat="1" ht="12.75" customHeight="1">
      <c r="A30" s="325">
        <f t="shared" si="1"/>
        <v>26</v>
      </c>
      <c r="B30" s="325">
        <v>974051215</v>
      </c>
      <c r="C30" s="327" t="s">
        <v>827</v>
      </c>
      <c r="D30" s="327" t="s">
        <v>779</v>
      </c>
      <c r="E30" s="327">
        <v>70</v>
      </c>
      <c r="F30" s="330"/>
      <c r="G30" s="353"/>
      <c r="H30" s="328">
        <f t="shared" si="0"/>
        <v>0</v>
      </c>
      <c r="I30" s="347"/>
      <c r="J30" s="274">
        <f t="shared" si="2"/>
        <v>0</v>
      </c>
    </row>
    <row r="31" spans="1:10" s="12" customFormat="1" ht="12.75" customHeight="1">
      <c r="A31" s="325">
        <f t="shared" si="1"/>
        <v>27</v>
      </c>
      <c r="B31" s="325">
        <v>974052513</v>
      </c>
      <c r="C31" s="327" t="s">
        <v>34</v>
      </c>
      <c r="D31" s="327" t="s">
        <v>779</v>
      </c>
      <c r="E31" s="327">
        <v>12</v>
      </c>
      <c r="F31" s="330"/>
      <c r="G31" s="353"/>
      <c r="H31" s="328">
        <f t="shared" si="0"/>
        <v>0</v>
      </c>
      <c r="I31" s="347"/>
      <c r="J31" s="274">
        <f t="shared" si="2"/>
        <v>0</v>
      </c>
    </row>
    <row r="32" spans="1:10" s="12" customFormat="1" ht="12.75" customHeight="1">
      <c r="A32" s="325">
        <f t="shared" si="1"/>
        <v>28</v>
      </c>
      <c r="B32" s="325">
        <v>210040721</v>
      </c>
      <c r="C32" s="327" t="s">
        <v>134</v>
      </c>
      <c r="D32" s="327" t="s">
        <v>778</v>
      </c>
      <c r="E32" s="327">
        <v>5</v>
      </c>
      <c r="F32" s="330"/>
      <c r="G32" s="353"/>
      <c r="H32" s="328">
        <f t="shared" si="0"/>
        <v>0</v>
      </c>
      <c r="I32" s="347"/>
      <c r="J32" s="274">
        <f t="shared" si="2"/>
        <v>0</v>
      </c>
    </row>
    <row r="33" spans="1:10" s="12" customFormat="1" ht="12.75" customHeight="1">
      <c r="A33" s="325">
        <f t="shared" si="1"/>
        <v>29</v>
      </c>
      <c r="B33" s="325">
        <v>974054208</v>
      </c>
      <c r="C33" s="327" t="s">
        <v>135</v>
      </c>
      <c r="D33" s="327" t="s">
        <v>778</v>
      </c>
      <c r="E33" s="327">
        <v>55</v>
      </c>
      <c r="F33" s="330"/>
      <c r="G33" s="353"/>
      <c r="H33" s="328">
        <f t="shared" si="0"/>
        <v>0</v>
      </c>
      <c r="I33" s="347"/>
      <c r="J33" s="274">
        <f t="shared" si="2"/>
        <v>0</v>
      </c>
    </row>
    <row r="34" spans="1:10" s="12" customFormat="1" ht="12.75" customHeight="1">
      <c r="A34" s="325">
        <f t="shared" si="1"/>
        <v>30</v>
      </c>
      <c r="B34" s="325" t="s">
        <v>499</v>
      </c>
      <c r="C34" s="327" t="s">
        <v>828</v>
      </c>
      <c r="D34" s="327" t="s">
        <v>778</v>
      </c>
      <c r="E34" s="327">
        <v>1</v>
      </c>
      <c r="F34" s="330"/>
      <c r="G34" s="353"/>
      <c r="H34" s="328">
        <f t="shared" si="0"/>
        <v>0</v>
      </c>
      <c r="I34" s="347"/>
      <c r="J34" s="274">
        <f t="shared" si="2"/>
        <v>0</v>
      </c>
    </row>
    <row r="35" spans="1:10" s="12" customFormat="1" ht="12.75" customHeight="1">
      <c r="A35" s="325">
        <f t="shared" si="1"/>
        <v>31</v>
      </c>
      <c r="B35" s="325" t="s">
        <v>499</v>
      </c>
      <c r="C35" s="327" t="s">
        <v>509</v>
      </c>
      <c r="D35" s="327" t="s">
        <v>510</v>
      </c>
      <c r="E35" s="327">
        <v>1</v>
      </c>
      <c r="F35" s="330"/>
      <c r="G35" s="353"/>
      <c r="H35" s="328">
        <f t="shared" si="0"/>
        <v>0</v>
      </c>
      <c r="I35" s="347"/>
      <c r="J35" s="274">
        <f t="shared" si="2"/>
        <v>0</v>
      </c>
    </row>
    <row r="36" spans="1:10" s="12" customFormat="1" ht="12.75" customHeight="1">
      <c r="A36" s="325">
        <f t="shared" si="1"/>
        <v>32</v>
      </c>
      <c r="B36" s="325" t="s">
        <v>783</v>
      </c>
      <c r="C36" s="327" t="s">
        <v>136</v>
      </c>
      <c r="D36" s="327" t="s">
        <v>511</v>
      </c>
      <c r="E36" s="327">
        <v>24</v>
      </c>
      <c r="F36" s="330"/>
      <c r="G36" s="353"/>
      <c r="H36" s="328">
        <f t="shared" si="0"/>
        <v>0</v>
      </c>
      <c r="I36" s="347"/>
      <c r="J36" s="274">
        <f t="shared" si="2"/>
        <v>0</v>
      </c>
    </row>
    <row r="37" spans="1:10" s="12" customFormat="1" ht="12.75" customHeight="1">
      <c r="A37" s="325">
        <f t="shared" si="1"/>
        <v>33</v>
      </c>
      <c r="B37" s="325" t="s">
        <v>783</v>
      </c>
      <c r="C37" s="327" t="s">
        <v>512</v>
      </c>
      <c r="D37" s="327" t="s">
        <v>511</v>
      </c>
      <c r="E37" s="327">
        <v>24</v>
      </c>
      <c r="F37" s="330"/>
      <c r="G37" s="353"/>
      <c r="H37" s="328">
        <f t="shared" si="0"/>
        <v>0</v>
      </c>
      <c r="I37" s="347"/>
      <c r="J37" s="274">
        <f t="shared" si="2"/>
        <v>0</v>
      </c>
    </row>
    <row r="38" spans="1:11" s="12" customFormat="1" ht="12.75" customHeight="1">
      <c r="A38" s="321"/>
      <c r="B38" s="321"/>
      <c r="C38" s="331" t="s">
        <v>829</v>
      </c>
      <c r="D38" s="323"/>
      <c r="E38" s="323"/>
      <c r="F38" s="332"/>
      <c r="G38" s="332"/>
      <c r="H38" s="333">
        <f>SUM(H5:H37)</f>
        <v>0</v>
      </c>
      <c r="I38" s="348"/>
      <c r="J38" s="274">
        <f>SUM(J5:J37)</f>
        <v>0</v>
      </c>
      <c r="K38" s="276">
        <f>H38-J38</f>
        <v>0</v>
      </c>
    </row>
    <row r="39" spans="1:9" s="12" customFormat="1" ht="12.75" customHeight="1">
      <c r="A39" s="250"/>
      <c r="B39" s="255"/>
      <c r="C39" s="255"/>
      <c r="D39" s="256"/>
      <c r="E39" s="256"/>
      <c r="F39" s="256"/>
      <c r="G39" s="256"/>
      <c r="H39" s="256"/>
      <c r="I39" s="349"/>
    </row>
    <row r="40" spans="1:10" s="12" customFormat="1" ht="12.75" customHeight="1">
      <c r="A40" s="321"/>
      <c r="B40" s="321"/>
      <c r="C40" s="331" t="s">
        <v>580</v>
      </c>
      <c r="D40" s="323"/>
      <c r="E40" s="323"/>
      <c r="F40" s="332"/>
      <c r="G40" s="332"/>
      <c r="H40" s="332"/>
      <c r="I40" s="350"/>
      <c r="J40" s="274"/>
    </row>
    <row r="41" spans="1:10" s="12" customFormat="1" ht="22.5">
      <c r="A41" s="325">
        <f>A37+1</f>
        <v>34</v>
      </c>
      <c r="B41" s="325"/>
      <c r="C41" s="334" t="s">
        <v>834</v>
      </c>
      <c r="D41" s="327" t="s">
        <v>778</v>
      </c>
      <c r="E41" s="327">
        <v>1</v>
      </c>
      <c r="F41" s="353"/>
      <c r="G41" s="330"/>
      <c r="H41" s="328">
        <f aca="true" t="shared" si="3" ref="H41:H50">(F41+G41)*E41</f>
        <v>0</v>
      </c>
      <c r="I41" s="347"/>
      <c r="J41" s="274">
        <f aca="true" t="shared" si="4" ref="J41:J50">E41*F41</f>
        <v>0</v>
      </c>
    </row>
    <row r="42" spans="1:10" s="12" customFormat="1" ht="12.75" customHeight="1">
      <c r="A42" s="325">
        <f aca="true" t="shared" si="5" ref="A42:A50">A41+1</f>
        <v>35</v>
      </c>
      <c r="B42" s="325"/>
      <c r="C42" s="327" t="s">
        <v>830</v>
      </c>
      <c r="D42" s="327" t="s">
        <v>778</v>
      </c>
      <c r="E42" s="327">
        <v>1</v>
      </c>
      <c r="F42" s="353"/>
      <c r="G42" s="330"/>
      <c r="H42" s="328">
        <f t="shared" si="3"/>
        <v>0</v>
      </c>
      <c r="I42" s="347"/>
      <c r="J42" s="274">
        <f t="shared" si="4"/>
        <v>0</v>
      </c>
    </row>
    <row r="43" spans="1:10" s="12" customFormat="1" ht="12.75" customHeight="1">
      <c r="A43" s="325">
        <f t="shared" si="5"/>
        <v>36</v>
      </c>
      <c r="B43" s="325"/>
      <c r="C43" s="327" t="s">
        <v>372</v>
      </c>
      <c r="D43" s="327" t="s">
        <v>778</v>
      </c>
      <c r="E43" s="327">
        <v>1</v>
      </c>
      <c r="F43" s="353"/>
      <c r="G43" s="330"/>
      <c r="H43" s="328">
        <f t="shared" si="3"/>
        <v>0</v>
      </c>
      <c r="I43" s="347"/>
      <c r="J43" s="274">
        <f t="shared" si="4"/>
        <v>0</v>
      </c>
    </row>
    <row r="44" spans="1:10" s="12" customFormat="1" ht="12.75" customHeight="1">
      <c r="A44" s="325">
        <f t="shared" si="5"/>
        <v>37</v>
      </c>
      <c r="B44" s="325"/>
      <c r="C44" s="327" t="s">
        <v>137</v>
      </c>
      <c r="D44" s="327" t="s">
        <v>778</v>
      </c>
      <c r="E44" s="327">
        <v>2</v>
      </c>
      <c r="F44" s="353"/>
      <c r="G44" s="330"/>
      <c r="H44" s="328">
        <f t="shared" si="3"/>
        <v>0</v>
      </c>
      <c r="I44" s="347"/>
      <c r="J44" s="274">
        <f t="shared" si="4"/>
        <v>0</v>
      </c>
    </row>
    <row r="45" spans="1:10" s="12" customFormat="1" ht="12.75" customHeight="1">
      <c r="A45" s="325">
        <f t="shared" si="5"/>
        <v>38</v>
      </c>
      <c r="B45" s="325"/>
      <c r="C45" s="327" t="s">
        <v>724</v>
      </c>
      <c r="D45" s="327" t="s">
        <v>778</v>
      </c>
      <c r="E45" s="327">
        <v>1</v>
      </c>
      <c r="F45" s="353"/>
      <c r="G45" s="330"/>
      <c r="H45" s="328">
        <f t="shared" si="3"/>
        <v>0</v>
      </c>
      <c r="I45" s="347"/>
      <c r="J45" s="274">
        <f t="shared" si="4"/>
        <v>0</v>
      </c>
    </row>
    <row r="46" spans="1:10" s="12" customFormat="1" ht="12.75" customHeight="1">
      <c r="A46" s="325">
        <f t="shared" si="5"/>
        <v>39</v>
      </c>
      <c r="B46" s="325"/>
      <c r="C46" s="327" t="s">
        <v>581</v>
      </c>
      <c r="D46" s="327" t="s">
        <v>778</v>
      </c>
      <c r="E46" s="327">
        <v>9</v>
      </c>
      <c r="F46" s="353"/>
      <c r="G46" s="330"/>
      <c r="H46" s="328">
        <f t="shared" si="3"/>
        <v>0</v>
      </c>
      <c r="I46" s="347"/>
      <c r="J46" s="274">
        <f t="shared" si="4"/>
        <v>0</v>
      </c>
    </row>
    <row r="47" spans="1:10" s="12" customFormat="1" ht="12.75" customHeight="1">
      <c r="A47" s="325">
        <f t="shared" si="5"/>
        <v>40</v>
      </c>
      <c r="B47" s="325"/>
      <c r="C47" s="327" t="s">
        <v>36</v>
      </c>
      <c r="D47" s="327" t="s">
        <v>778</v>
      </c>
      <c r="E47" s="327">
        <v>1</v>
      </c>
      <c r="F47" s="353"/>
      <c r="G47" s="330"/>
      <c r="H47" s="328">
        <f t="shared" si="3"/>
        <v>0</v>
      </c>
      <c r="I47" s="347"/>
      <c r="J47" s="274">
        <f t="shared" si="4"/>
        <v>0</v>
      </c>
    </row>
    <row r="48" spans="1:10" s="12" customFormat="1" ht="12.75" customHeight="1">
      <c r="A48" s="325">
        <f t="shared" si="5"/>
        <v>41</v>
      </c>
      <c r="B48" s="325"/>
      <c r="C48" s="327" t="s">
        <v>513</v>
      </c>
      <c r="D48" s="327" t="s">
        <v>779</v>
      </c>
      <c r="E48" s="327">
        <v>0.5</v>
      </c>
      <c r="F48" s="353"/>
      <c r="G48" s="330"/>
      <c r="H48" s="328">
        <f t="shared" si="3"/>
        <v>0</v>
      </c>
      <c r="I48" s="347"/>
      <c r="J48" s="274">
        <f t="shared" si="4"/>
        <v>0</v>
      </c>
    </row>
    <row r="49" spans="1:10" s="12" customFormat="1" ht="12.75" customHeight="1">
      <c r="A49" s="325">
        <f t="shared" si="5"/>
        <v>42</v>
      </c>
      <c r="B49" s="325"/>
      <c r="C49" s="327" t="s">
        <v>582</v>
      </c>
      <c r="D49" s="327" t="s">
        <v>775</v>
      </c>
      <c r="E49" s="327">
        <v>1</v>
      </c>
      <c r="F49" s="353"/>
      <c r="G49" s="330"/>
      <c r="H49" s="328">
        <f t="shared" si="3"/>
        <v>0</v>
      </c>
      <c r="I49" s="347"/>
      <c r="J49" s="274">
        <f t="shared" si="4"/>
        <v>0</v>
      </c>
    </row>
    <row r="50" spans="1:10" s="12" customFormat="1" ht="12.75" customHeight="1">
      <c r="A50" s="325">
        <f t="shared" si="5"/>
        <v>43</v>
      </c>
      <c r="B50" s="325"/>
      <c r="C50" s="327" t="s">
        <v>514</v>
      </c>
      <c r="D50" s="327" t="s">
        <v>775</v>
      </c>
      <c r="E50" s="327">
        <v>1</v>
      </c>
      <c r="F50" s="330"/>
      <c r="G50" s="353"/>
      <c r="H50" s="328">
        <f t="shared" si="3"/>
        <v>0</v>
      </c>
      <c r="I50" s="347"/>
      <c r="J50" s="274">
        <f t="shared" si="4"/>
        <v>0</v>
      </c>
    </row>
    <row r="51" spans="1:11" s="12" customFormat="1" ht="12.75" customHeight="1">
      <c r="A51" s="321"/>
      <c r="B51" s="321"/>
      <c r="C51" s="331" t="s">
        <v>831</v>
      </c>
      <c r="D51" s="323"/>
      <c r="E51" s="323"/>
      <c r="F51" s="323"/>
      <c r="G51" s="323"/>
      <c r="H51" s="333">
        <f>SUM(H41:H50)</f>
        <v>0</v>
      </c>
      <c r="I51" s="348"/>
      <c r="J51" s="274">
        <f>SUM(J41:J50)</f>
        <v>0</v>
      </c>
      <c r="K51" s="276">
        <f>H51-J51</f>
        <v>0</v>
      </c>
    </row>
    <row r="52" spans="1:9" s="12" customFormat="1" ht="12.75" customHeight="1">
      <c r="A52" s="250"/>
      <c r="B52" s="255"/>
      <c r="C52" s="255"/>
      <c r="D52" s="256"/>
      <c r="E52" s="256"/>
      <c r="F52" s="256"/>
      <c r="G52" s="256"/>
      <c r="H52" s="256"/>
      <c r="I52" s="349"/>
    </row>
    <row r="53" spans="1:10" s="12" customFormat="1" ht="12.75" customHeight="1">
      <c r="A53" s="321"/>
      <c r="B53" s="321"/>
      <c r="C53" s="331" t="s">
        <v>456</v>
      </c>
      <c r="D53" s="323"/>
      <c r="E53" s="323"/>
      <c r="F53" s="323"/>
      <c r="G53" s="323"/>
      <c r="H53" s="323"/>
      <c r="I53" s="345"/>
      <c r="J53" s="274"/>
    </row>
    <row r="54" spans="1:10" s="12" customFormat="1" ht="12.75" customHeight="1">
      <c r="A54" s="325">
        <f>A50+1</f>
        <v>44</v>
      </c>
      <c r="B54" s="325"/>
      <c r="C54" s="334" t="s">
        <v>35</v>
      </c>
      <c r="D54" s="327" t="s">
        <v>784</v>
      </c>
      <c r="E54" s="354"/>
      <c r="F54" s="335">
        <f>SUM(J38,J51)</f>
        <v>0</v>
      </c>
      <c r="G54" s="330"/>
      <c r="H54" s="328">
        <f>(F54)*E54</f>
        <v>0</v>
      </c>
      <c r="I54" s="351"/>
      <c r="J54" s="274"/>
    </row>
    <row r="55" spans="1:10" s="12" customFormat="1" ht="12.75" customHeight="1">
      <c r="A55" s="325">
        <f>A54+1</f>
        <v>45</v>
      </c>
      <c r="B55" s="325"/>
      <c r="C55" s="334" t="s">
        <v>197</v>
      </c>
      <c r="D55" s="327" t="s">
        <v>784</v>
      </c>
      <c r="E55" s="354"/>
      <c r="F55" s="330"/>
      <c r="G55" s="335">
        <f>SUM(K38,K51)</f>
        <v>0</v>
      </c>
      <c r="H55" s="328">
        <f>(G55)*E55</f>
        <v>0</v>
      </c>
      <c r="I55" s="351"/>
      <c r="J55" s="274"/>
    </row>
    <row r="56" spans="1:10" s="12" customFormat="1" ht="12.75" customHeight="1">
      <c r="A56" s="336"/>
      <c r="B56" s="321"/>
      <c r="C56" s="331" t="s">
        <v>777</v>
      </c>
      <c r="D56" s="331"/>
      <c r="E56" s="337"/>
      <c r="F56" s="331"/>
      <c r="G56" s="331"/>
      <c r="H56" s="333">
        <f>SUM(H54:H55)</f>
        <v>0</v>
      </c>
      <c r="I56" s="352"/>
      <c r="J56" s="274"/>
    </row>
    <row r="57" spans="1:10" s="12" customFormat="1" ht="12.75" customHeight="1">
      <c r="A57" s="336"/>
      <c r="B57" s="321"/>
      <c r="C57" s="331"/>
      <c r="D57" s="331"/>
      <c r="E57" s="337"/>
      <c r="F57" s="331"/>
      <c r="G57" s="331"/>
      <c r="H57" s="338"/>
      <c r="I57" s="352"/>
      <c r="J57" s="274"/>
    </row>
    <row r="58" spans="1:10" s="12" customFormat="1" ht="12.75" customHeight="1">
      <c r="A58" s="336"/>
      <c r="B58" s="321"/>
      <c r="C58" s="331"/>
      <c r="D58" s="331"/>
      <c r="E58" s="337"/>
      <c r="F58" s="331"/>
      <c r="G58" s="331"/>
      <c r="H58" s="338"/>
      <c r="I58" s="352"/>
      <c r="J58" s="274"/>
    </row>
    <row r="59" spans="1:10" s="12" customFormat="1" ht="15.75">
      <c r="A59" s="321"/>
      <c r="B59" s="321"/>
      <c r="C59" s="339" t="s">
        <v>515</v>
      </c>
      <c r="D59" s="323"/>
      <c r="E59" s="323"/>
      <c r="F59" s="323"/>
      <c r="G59" s="323"/>
      <c r="H59" s="338"/>
      <c r="I59" s="348"/>
      <c r="J59" s="274"/>
    </row>
    <row r="60" spans="1:10" s="12" customFormat="1" ht="12.75" customHeight="1">
      <c r="A60" s="321"/>
      <c r="B60" s="321"/>
      <c r="C60" s="331" t="s">
        <v>495</v>
      </c>
      <c r="D60" s="323"/>
      <c r="E60" s="321" t="s">
        <v>781</v>
      </c>
      <c r="F60" s="321" t="s">
        <v>496</v>
      </c>
      <c r="G60" s="321" t="s">
        <v>497</v>
      </c>
      <c r="H60" s="321" t="s">
        <v>782</v>
      </c>
      <c r="I60" s="348"/>
      <c r="J60" s="274"/>
    </row>
    <row r="61" spans="1:10" s="12" customFormat="1" ht="18" customHeight="1">
      <c r="A61" s="325">
        <f>A55+1</f>
        <v>46</v>
      </c>
      <c r="B61" s="325">
        <v>210111012</v>
      </c>
      <c r="C61" s="327" t="s">
        <v>583</v>
      </c>
      <c r="D61" s="327" t="s">
        <v>778</v>
      </c>
      <c r="E61" s="327">
        <v>1</v>
      </c>
      <c r="F61" s="353"/>
      <c r="G61" s="353"/>
      <c r="H61" s="328">
        <f aca="true" t="shared" si="6" ref="H61:H72">(F61+G61)*E61</f>
        <v>0</v>
      </c>
      <c r="I61" s="347"/>
      <c r="J61" s="274">
        <f aca="true" t="shared" si="7" ref="J61:J72">E61*F61</f>
        <v>0</v>
      </c>
    </row>
    <row r="62" spans="1:10" s="12" customFormat="1" ht="12.75" customHeight="1">
      <c r="A62" s="325">
        <f aca="true" t="shared" si="8" ref="A62:A72">A61+1</f>
        <v>47</v>
      </c>
      <c r="B62" s="325">
        <v>210111012</v>
      </c>
      <c r="C62" s="327" t="s">
        <v>138</v>
      </c>
      <c r="D62" s="327" t="s">
        <v>778</v>
      </c>
      <c r="E62" s="327">
        <v>1</v>
      </c>
      <c r="F62" s="353"/>
      <c r="G62" s="353"/>
      <c r="H62" s="328">
        <f t="shared" si="6"/>
        <v>0</v>
      </c>
      <c r="I62" s="347"/>
      <c r="J62" s="274">
        <f t="shared" si="7"/>
        <v>0</v>
      </c>
    </row>
    <row r="63" spans="1:10" s="12" customFormat="1" ht="12.75" customHeight="1">
      <c r="A63" s="325">
        <f t="shared" si="8"/>
        <v>48</v>
      </c>
      <c r="B63" s="325">
        <v>210111012</v>
      </c>
      <c r="C63" s="327" t="s">
        <v>584</v>
      </c>
      <c r="D63" s="327" t="s">
        <v>778</v>
      </c>
      <c r="E63" s="327">
        <v>3</v>
      </c>
      <c r="F63" s="353"/>
      <c r="G63" s="353"/>
      <c r="H63" s="328">
        <f t="shared" si="6"/>
        <v>0</v>
      </c>
      <c r="I63" s="347"/>
      <c r="J63" s="274">
        <f t="shared" si="7"/>
        <v>0</v>
      </c>
    </row>
    <row r="64" spans="1:10" s="12" customFormat="1" ht="12.75" customHeight="1">
      <c r="A64" s="325">
        <f t="shared" si="8"/>
        <v>49</v>
      </c>
      <c r="B64" s="325">
        <v>210010301</v>
      </c>
      <c r="C64" s="327" t="s">
        <v>505</v>
      </c>
      <c r="D64" s="327" t="s">
        <v>778</v>
      </c>
      <c r="E64" s="327">
        <v>5</v>
      </c>
      <c r="F64" s="353"/>
      <c r="G64" s="353"/>
      <c r="H64" s="328">
        <f t="shared" si="6"/>
        <v>0</v>
      </c>
      <c r="I64" s="347"/>
      <c r="J64" s="274">
        <f t="shared" si="7"/>
        <v>0</v>
      </c>
    </row>
    <row r="65" spans="1:10" s="12" customFormat="1" ht="12.75" customHeight="1">
      <c r="A65" s="325">
        <f t="shared" si="8"/>
        <v>50</v>
      </c>
      <c r="B65" s="325">
        <v>210010301</v>
      </c>
      <c r="C65" s="327" t="s">
        <v>585</v>
      </c>
      <c r="D65" s="327" t="s">
        <v>778</v>
      </c>
      <c r="E65" s="327">
        <v>2</v>
      </c>
      <c r="F65" s="353"/>
      <c r="G65" s="353"/>
      <c r="H65" s="328">
        <f t="shared" si="6"/>
        <v>0</v>
      </c>
      <c r="I65" s="347"/>
      <c r="J65" s="274">
        <f t="shared" si="7"/>
        <v>0</v>
      </c>
    </row>
    <row r="66" spans="1:10" s="12" customFormat="1" ht="12.75" customHeight="1">
      <c r="A66" s="325">
        <f t="shared" si="8"/>
        <v>51</v>
      </c>
      <c r="B66" s="325">
        <v>210800549</v>
      </c>
      <c r="C66" s="327" t="s">
        <v>586</v>
      </c>
      <c r="D66" s="327" t="s">
        <v>779</v>
      </c>
      <c r="E66" s="327">
        <v>75</v>
      </c>
      <c r="F66" s="353"/>
      <c r="G66" s="353"/>
      <c r="H66" s="328">
        <f t="shared" si="6"/>
        <v>0</v>
      </c>
      <c r="I66" s="347"/>
      <c r="J66" s="274">
        <f t="shared" si="7"/>
        <v>0</v>
      </c>
    </row>
    <row r="67" spans="1:10" s="12" customFormat="1" ht="12.75" customHeight="1">
      <c r="A67" s="325">
        <f t="shared" si="8"/>
        <v>52</v>
      </c>
      <c r="B67" s="325">
        <v>210800549</v>
      </c>
      <c r="C67" s="327" t="s">
        <v>195</v>
      </c>
      <c r="D67" s="327" t="s">
        <v>779</v>
      </c>
      <c r="E67" s="327">
        <v>12</v>
      </c>
      <c r="F67" s="353"/>
      <c r="G67" s="353"/>
      <c r="H67" s="328">
        <f t="shared" si="6"/>
        <v>0</v>
      </c>
      <c r="I67" s="347"/>
      <c r="J67" s="274">
        <f t="shared" si="7"/>
        <v>0</v>
      </c>
    </row>
    <row r="68" spans="1:10" s="12" customFormat="1" ht="12.75" customHeight="1">
      <c r="A68" s="325">
        <f t="shared" si="8"/>
        <v>53</v>
      </c>
      <c r="B68" s="325">
        <v>210010002</v>
      </c>
      <c r="C68" s="327" t="s">
        <v>196</v>
      </c>
      <c r="D68" s="327" t="s">
        <v>779</v>
      </c>
      <c r="E68" s="327">
        <v>12</v>
      </c>
      <c r="F68" s="353"/>
      <c r="G68" s="353"/>
      <c r="H68" s="328">
        <f t="shared" si="6"/>
        <v>0</v>
      </c>
      <c r="I68" s="347"/>
      <c r="J68" s="274">
        <f t="shared" si="7"/>
        <v>0</v>
      </c>
    </row>
    <row r="69" spans="1:10" s="12" customFormat="1" ht="12.75" customHeight="1">
      <c r="A69" s="325">
        <f t="shared" si="8"/>
        <v>54</v>
      </c>
      <c r="B69" s="325">
        <v>974054208</v>
      </c>
      <c r="C69" s="327" t="s">
        <v>135</v>
      </c>
      <c r="D69" s="327" t="s">
        <v>778</v>
      </c>
      <c r="E69" s="327">
        <v>7</v>
      </c>
      <c r="F69" s="330"/>
      <c r="G69" s="353"/>
      <c r="H69" s="328">
        <f t="shared" si="6"/>
        <v>0</v>
      </c>
      <c r="I69" s="347"/>
      <c r="J69" s="274">
        <f t="shared" si="7"/>
        <v>0</v>
      </c>
    </row>
    <row r="70" spans="1:10" s="12" customFormat="1" ht="12.75" customHeight="1">
      <c r="A70" s="325">
        <f t="shared" si="8"/>
        <v>55</v>
      </c>
      <c r="B70" s="325">
        <v>974051215</v>
      </c>
      <c r="C70" s="327" t="s">
        <v>827</v>
      </c>
      <c r="D70" s="327" t="s">
        <v>779</v>
      </c>
      <c r="E70" s="327">
        <v>40</v>
      </c>
      <c r="F70" s="330"/>
      <c r="G70" s="353"/>
      <c r="H70" s="328">
        <f t="shared" si="6"/>
        <v>0</v>
      </c>
      <c r="I70" s="347"/>
      <c r="J70" s="274">
        <f t="shared" si="7"/>
        <v>0</v>
      </c>
    </row>
    <row r="71" spans="1:10" s="12" customFormat="1" ht="12.75" customHeight="1">
      <c r="A71" s="325">
        <f t="shared" si="8"/>
        <v>56</v>
      </c>
      <c r="B71" s="325">
        <v>210292041</v>
      </c>
      <c r="C71" s="327" t="s">
        <v>508</v>
      </c>
      <c r="D71" s="327" t="s">
        <v>778</v>
      </c>
      <c r="E71" s="327">
        <v>5</v>
      </c>
      <c r="F71" s="330"/>
      <c r="G71" s="353"/>
      <c r="H71" s="328">
        <f t="shared" si="6"/>
        <v>0</v>
      </c>
      <c r="I71" s="347"/>
      <c r="J71" s="274">
        <f t="shared" si="7"/>
        <v>0</v>
      </c>
    </row>
    <row r="72" spans="1:10" s="12" customFormat="1" ht="12.75" customHeight="1">
      <c r="A72" s="325">
        <f t="shared" si="8"/>
        <v>57</v>
      </c>
      <c r="B72" s="325">
        <v>210010351</v>
      </c>
      <c r="C72" s="340" t="s">
        <v>832</v>
      </c>
      <c r="D72" s="327" t="s">
        <v>778</v>
      </c>
      <c r="E72" s="327">
        <v>1</v>
      </c>
      <c r="F72" s="353"/>
      <c r="G72" s="353"/>
      <c r="H72" s="328">
        <f t="shared" si="6"/>
        <v>0</v>
      </c>
      <c r="I72" s="347"/>
      <c r="J72" s="274">
        <f t="shared" si="7"/>
        <v>0</v>
      </c>
    </row>
    <row r="73" spans="1:11" s="12" customFormat="1" ht="11.25">
      <c r="A73" s="321"/>
      <c r="B73" s="321"/>
      <c r="C73" s="331" t="s">
        <v>106</v>
      </c>
      <c r="D73" s="323"/>
      <c r="E73" s="323"/>
      <c r="F73" s="332"/>
      <c r="G73" s="332"/>
      <c r="H73" s="333">
        <f>SUM(H61:H72)</f>
        <v>0</v>
      </c>
      <c r="I73" s="350"/>
      <c r="J73" s="274">
        <f>SUM(J61:J72)</f>
        <v>0</v>
      </c>
      <c r="K73" s="276">
        <f>H73-J73</f>
        <v>0</v>
      </c>
    </row>
    <row r="74" spans="1:10" s="12" customFormat="1" ht="12.75" customHeight="1">
      <c r="A74" s="321"/>
      <c r="B74" s="321"/>
      <c r="C74" s="331"/>
      <c r="D74" s="323"/>
      <c r="E74" s="323"/>
      <c r="F74" s="332"/>
      <c r="G74" s="332"/>
      <c r="H74" s="338"/>
      <c r="I74" s="350"/>
      <c r="J74" s="274"/>
    </row>
    <row r="75" spans="1:10" s="12" customFormat="1" ht="12.75" customHeight="1">
      <c r="A75" s="321"/>
      <c r="B75" s="321"/>
      <c r="C75" s="331" t="s">
        <v>456</v>
      </c>
      <c r="D75" s="323"/>
      <c r="E75" s="323"/>
      <c r="F75" s="323"/>
      <c r="G75" s="323"/>
      <c r="H75" s="323"/>
      <c r="I75" s="345"/>
      <c r="J75" s="274"/>
    </row>
    <row r="76" spans="1:10" s="12" customFormat="1" ht="12.75" customHeight="1">
      <c r="A76" s="325">
        <f>A72+1</f>
        <v>58</v>
      </c>
      <c r="B76" s="325"/>
      <c r="C76" s="334" t="s">
        <v>35</v>
      </c>
      <c r="D76" s="327" t="s">
        <v>784</v>
      </c>
      <c r="E76" s="354"/>
      <c r="F76" s="335">
        <f>J73</f>
        <v>0</v>
      </c>
      <c r="G76" s="330"/>
      <c r="H76" s="330">
        <f>(F76+G76)*E76</f>
        <v>0</v>
      </c>
      <c r="I76" s="351"/>
      <c r="J76" s="274"/>
    </row>
    <row r="77" spans="1:10" s="12" customFormat="1" ht="12.75" customHeight="1">
      <c r="A77" s="325">
        <f>A76+1</f>
        <v>59</v>
      </c>
      <c r="B77" s="325"/>
      <c r="C77" s="334" t="s">
        <v>197</v>
      </c>
      <c r="D77" s="327" t="s">
        <v>784</v>
      </c>
      <c r="E77" s="354"/>
      <c r="F77" s="330"/>
      <c r="G77" s="335">
        <f>K73</f>
        <v>0</v>
      </c>
      <c r="H77" s="330">
        <f>(F77+G77)*E77</f>
        <v>0</v>
      </c>
      <c r="I77" s="351"/>
      <c r="J77" s="274"/>
    </row>
    <row r="78" spans="1:10" s="12" customFormat="1" ht="12.75" customHeight="1">
      <c r="A78" s="336"/>
      <c r="B78" s="321"/>
      <c r="C78" s="331" t="s">
        <v>777</v>
      </c>
      <c r="D78" s="331"/>
      <c r="E78" s="337"/>
      <c r="F78" s="331"/>
      <c r="G78" s="331"/>
      <c r="H78" s="338">
        <f>SUM(H76:H77)</f>
        <v>0</v>
      </c>
      <c r="I78" s="352"/>
      <c r="J78" s="274"/>
    </row>
    <row r="79" spans="1:10" s="12" customFormat="1" ht="12.75" customHeight="1">
      <c r="A79" s="336"/>
      <c r="B79" s="336"/>
      <c r="C79" s="341"/>
      <c r="D79" s="341"/>
      <c r="E79" s="342"/>
      <c r="F79" s="341"/>
      <c r="G79" s="341"/>
      <c r="H79" s="343"/>
      <c r="I79" s="352"/>
      <c r="J79" s="274"/>
    </row>
    <row r="80" spans="1:10" s="12" customFormat="1" ht="12.75" customHeight="1">
      <c r="A80" s="321"/>
      <c r="B80" s="321"/>
      <c r="C80" s="331" t="s">
        <v>517</v>
      </c>
      <c r="D80" s="323"/>
      <c r="E80" s="323"/>
      <c r="F80" s="323"/>
      <c r="G80" s="323"/>
      <c r="H80" s="338">
        <f>SUM(H38,H51,H56,H73,H78)</f>
        <v>0</v>
      </c>
      <c r="I80" s="348"/>
      <c r="J80" s="275"/>
    </row>
    <row r="81" spans="1:10" s="12" customFormat="1" ht="12.75" customHeight="1">
      <c r="A81" s="321"/>
      <c r="B81" s="321"/>
      <c r="C81" s="331" t="s">
        <v>833</v>
      </c>
      <c r="D81" s="344">
        <v>0.15</v>
      </c>
      <c r="E81" s="323"/>
      <c r="F81" s="323"/>
      <c r="G81" s="323"/>
      <c r="H81" s="338">
        <f>H80*D81</f>
        <v>0</v>
      </c>
      <c r="I81" s="348"/>
      <c r="J81" s="275"/>
    </row>
    <row r="82" spans="1:10" s="12" customFormat="1" ht="12.75" customHeight="1">
      <c r="A82" s="321"/>
      <c r="B82" s="321"/>
      <c r="C82" s="331" t="s">
        <v>518</v>
      </c>
      <c r="D82" s="323"/>
      <c r="E82" s="323"/>
      <c r="F82" s="323"/>
      <c r="G82" s="323"/>
      <c r="H82" s="338">
        <f>SUM(H80:H81)</f>
        <v>0</v>
      </c>
      <c r="I82" s="348"/>
      <c r="J82" s="275"/>
    </row>
    <row r="83" spans="1:9" s="12" customFormat="1" ht="12.75" customHeight="1">
      <c r="A83" s="250"/>
      <c r="B83" s="255"/>
      <c r="C83" s="255"/>
      <c r="D83" s="256"/>
      <c r="E83" s="256"/>
      <c r="F83" s="256"/>
      <c r="G83" s="256"/>
      <c r="H83" s="256"/>
      <c r="I83" s="349"/>
    </row>
    <row r="84" spans="1:9" s="12" customFormat="1" ht="12.75" customHeight="1">
      <c r="A84" s="250"/>
      <c r="B84" s="249"/>
      <c r="C84" s="255"/>
      <c r="D84" s="256"/>
      <c r="E84" s="256"/>
      <c r="F84" s="256"/>
      <c r="G84" s="256"/>
      <c r="H84" s="256"/>
      <c r="I84" s="349"/>
    </row>
    <row r="85" spans="1:9" s="12" customFormat="1" ht="12.75" customHeight="1">
      <c r="A85" s="250"/>
      <c r="B85" s="249"/>
      <c r="C85" s="255"/>
      <c r="D85" s="256"/>
      <c r="E85" s="256"/>
      <c r="F85" s="256"/>
      <c r="G85" s="256"/>
      <c r="H85" s="256"/>
      <c r="I85" s="349"/>
    </row>
    <row r="86" spans="1:9" s="12" customFormat="1" ht="12.75" customHeight="1">
      <c r="A86" s="250"/>
      <c r="B86" s="249"/>
      <c r="C86" s="255"/>
      <c r="D86" s="256"/>
      <c r="E86" s="256"/>
      <c r="F86" s="256"/>
      <c r="G86" s="256"/>
      <c r="H86" s="256"/>
      <c r="I86" s="349"/>
    </row>
    <row r="87" spans="1:9" s="12" customFormat="1" ht="12.75">
      <c r="A87" s="250"/>
      <c r="B87" s="249"/>
      <c r="C87" s="255"/>
      <c r="D87" s="256"/>
      <c r="E87" s="256"/>
      <c r="F87" s="256"/>
      <c r="G87" s="256"/>
      <c r="H87" s="256"/>
      <c r="I87" s="349"/>
    </row>
    <row r="88" spans="1:9" s="12" customFormat="1" ht="12.75">
      <c r="A88" s="250"/>
      <c r="B88" s="249"/>
      <c r="C88" s="255"/>
      <c r="D88" s="256"/>
      <c r="E88" s="256"/>
      <c r="F88" s="256"/>
      <c r="G88" s="256"/>
      <c r="H88" s="256"/>
      <c r="I88" s="349"/>
    </row>
    <row r="89" spans="1:9" s="12" customFormat="1" ht="13.5" customHeight="1">
      <c r="A89" s="250"/>
      <c r="B89" s="249"/>
      <c r="C89" s="255"/>
      <c r="D89" s="256"/>
      <c r="E89" s="256"/>
      <c r="F89" s="256"/>
      <c r="G89" s="256"/>
      <c r="H89" s="256"/>
      <c r="I89" s="349"/>
    </row>
    <row r="90" spans="1:9" s="12" customFormat="1" ht="13.5" customHeight="1">
      <c r="A90" s="249"/>
      <c r="B90" s="249"/>
      <c r="C90" s="255"/>
      <c r="D90" s="256"/>
      <c r="E90" s="256"/>
      <c r="F90" s="256"/>
      <c r="G90" s="256"/>
      <c r="H90" s="256"/>
      <c r="I90" s="349"/>
    </row>
    <row r="91" spans="1:9" s="12" customFormat="1" ht="12.75" customHeight="1">
      <c r="A91" s="252"/>
      <c r="B91" s="253"/>
      <c r="C91" s="255"/>
      <c r="D91" s="256"/>
      <c r="E91" s="256"/>
      <c r="F91" s="256"/>
      <c r="G91" s="256"/>
      <c r="H91" s="256"/>
      <c r="I91" s="349"/>
    </row>
    <row r="92" spans="1:9" s="12" customFormat="1" ht="12.75" customHeight="1">
      <c r="A92" s="252"/>
      <c r="B92" s="253"/>
      <c r="C92" s="255"/>
      <c r="D92" s="256"/>
      <c r="E92" s="256"/>
      <c r="F92" s="256"/>
      <c r="G92" s="256"/>
      <c r="H92" s="256"/>
      <c r="I92" s="349"/>
    </row>
    <row r="93" spans="1:9" s="12" customFormat="1" ht="12.75" customHeight="1">
      <c r="A93" s="253"/>
      <c r="B93" s="249"/>
      <c r="C93" s="255"/>
      <c r="D93" s="256"/>
      <c r="E93" s="256"/>
      <c r="F93" s="256"/>
      <c r="G93" s="256"/>
      <c r="H93" s="256"/>
      <c r="I93" s="349"/>
    </row>
    <row r="94" spans="1:9" s="12" customFormat="1" ht="12.75" customHeight="1">
      <c r="A94" s="253"/>
      <c r="B94" s="249"/>
      <c r="C94" s="255"/>
      <c r="D94" s="256"/>
      <c r="E94" s="256"/>
      <c r="F94" s="256"/>
      <c r="G94" s="256"/>
      <c r="H94" s="256"/>
      <c r="I94" s="349"/>
    </row>
    <row r="95" spans="1:9" s="12" customFormat="1" ht="13.5" customHeight="1">
      <c r="A95" s="251"/>
      <c r="B95" s="249"/>
      <c r="C95" s="255"/>
      <c r="D95" s="256"/>
      <c r="E95" s="256"/>
      <c r="F95" s="256"/>
      <c r="G95" s="256"/>
      <c r="H95" s="256"/>
      <c r="I95" s="349"/>
    </row>
    <row r="96" spans="1:9" s="12" customFormat="1" ht="12.75">
      <c r="A96" s="251"/>
      <c r="B96" s="249"/>
      <c r="C96" s="255"/>
      <c r="D96" s="256"/>
      <c r="E96" s="256"/>
      <c r="F96" s="256"/>
      <c r="G96" s="256"/>
      <c r="H96" s="256"/>
      <c r="I96" s="349"/>
    </row>
    <row r="97" spans="1:9" s="12" customFormat="1" ht="13.5" customHeight="1">
      <c r="A97" s="251"/>
      <c r="B97" s="249"/>
      <c r="C97" s="255"/>
      <c r="D97" s="256"/>
      <c r="E97" s="256"/>
      <c r="F97" s="256"/>
      <c r="G97" s="256"/>
      <c r="H97" s="256"/>
      <c r="I97" s="349"/>
    </row>
    <row r="98" spans="1:9" s="12" customFormat="1" ht="13.5" customHeight="1">
      <c r="A98" s="251"/>
      <c r="B98" s="249"/>
      <c r="C98" s="255"/>
      <c r="D98" s="256"/>
      <c r="E98" s="256"/>
      <c r="F98" s="256"/>
      <c r="G98" s="256"/>
      <c r="H98" s="256"/>
      <c r="I98" s="349"/>
    </row>
    <row r="99" spans="1:9" s="12" customFormat="1" ht="27.75" customHeight="1">
      <c r="A99" s="251"/>
      <c r="B99" s="249"/>
      <c r="C99" s="255"/>
      <c r="D99" s="256"/>
      <c r="E99" s="256"/>
      <c r="F99" s="256"/>
      <c r="G99" s="256"/>
      <c r="H99" s="256"/>
      <c r="I99" s="349"/>
    </row>
    <row r="100" spans="1:9" s="12" customFormat="1" ht="13.5" customHeight="1">
      <c r="A100" s="249"/>
      <c r="B100" s="256"/>
      <c r="C100" s="256"/>
      <c r="D100" s="256"/>
      <c r="E100" s="256"/>
      <c r="F100" s="256"/>
      <c r="G100" s="256"/>
      <c r="H100" s="256"/>
      <c r="I100" s="349"/>
    </row>
    <row r="101" spans="1:9" s="12" customFormat="1" ht="75.75" customHeight="1">
      <c r="A101" s="254"/>
      <c r="B101" s="256"/>
      <c r="C101" s="256"/>
      <c r="D101" s="256"/>
      <c r="E101" s="256"/>
      <c r="F101" s="256"/>
      <c r="G101" s="256"/>
      <c r="H101" s="256"/>
      <c r="I101" s="349"/>
    </row>
    <row r="102" spans="1:9" s="12" customFormat="1" ht="11.25">
      <c r="A102" s="249"/>
      <c r="B102" s="256"/>
      <c r="C102" s="256"/>
      <c r="D102" s="256"/>
      <c r="E102" s="256"/>
      <c r="F102" s="256"/>
      <c r="G102" s="256"/>
      <c r="H102" s="256"/>
      <c r="I102" s="349"/>
    </row>
    <row r="103" spans="1:9" s="12" customFormat="1" ht="12.75">
      <c r="A103" s="255"/>
      <c r="B103" s="256"/>
      <c r="C103" s="256"/>
      <c r="D103" s="256"/>
      <c r="E103" s="256"/>
      <c r="F103" s="256"/>
      <c r="G103" s="256"/>
      <c r="H103" s="256"/>
      <c r="I103" s="349"/>
    </row>
    <row r="104" spans="1:9" s="12" customFormat="1" ht="12.75">
      <c r="A104" s="255"/>
      <c r="B104" s="256"/>
      <c r="C104" s="256"/>
      <c r="D104" s="256"/>
      <c r="E104" s="256"/>
      <c r="F104" s="256"/>
      <c r="G104" s="256"/>
      <c r="H104" s="256"/>
      <c r="I104" s="349"/>
    </row>
    <row r="105" spans="1:9" s="12" customFormat="1" ht="13.5" customHeight="1">
      <c r="A105" s="255"/>
      <c r="B105" s="256"/>
      <c r="C105" s="256"/>
      <c r="D105" s="256"/>
      <c r="E105" s="256"/>
      <c r="F105" s="256"/>
      <c r="G105" s="256"/>
      <c r="H105" s="256"/>
      <c r="I105" s="349"/>
    </row>
    <row r="106" ht="12.75">
      <c r="A106" s="255"/>
    </row>
    <row r="107" ht="12.75">
      <c r="A107" s="255"/>
    </row>
    <row r="108" ht="24" customHeight="1">
      <c r="A108" s="255"/>
    </row>
    <row r="109" ht="12.75">
      <c r="A109" s="255"/>
    </row>
    <row r="110" ht="12.75">
      <c r="A110" s="255"/>
    </row>
    <row r="111" spans="1:3" ht="12.75">
      <c r="A111" s="255"/>
      <c r="B111" s="255"/>
      <c r="C111" s="255"/>
    </row>
  </sheetData>
  <sheetProtection password="C778" sheet="1" selectLockedCells="1"/>
  <mergeCells count="1">
    <mergeCell ref="A1:H1"/>
  </mergeCells>
  <printOptions gridLines="1"/>
  <pageMargins left="0.7086614173228347" right="0.7086614173228347" top="0.7874015748031497" bottom="0.7874015748031497" header="0.31496062992125984" footer="0.31496062992125984"/>
  <pageSetup fitToHeight="0" fitToWidth="1" horizontalDpi="600" verticalDpi="600" orientation="portrait" paperSize="9" scale="86"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2021-08-19T15:31:39Z</cp:lastPrinted>
  <dcterms:created xsi:type="dcterms:W3CDTF">2015-06-09T11:12:40Z</dcterms:created>
  <dcterms:modified xsi:type="dcterms:W3CDTF">2021-10-04T17:59:25Z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