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NÁKLADY'!$G$101</definedName>
    <definedName name="Cena_2a">'OBJEKT_CELKOVÉ NÁKLADY'!$G$119</definedName>
    <definedName name="Cena_2b">'OBJEKT_CELKOVÉ NÁKLADY'!$G$132</definedName>
    <definedName name="Cena_2c">'OBJEKT_CELKOVÉ NÁKLADY'!$G$164</definedName>
    <definedName name="Cena_2d">'OBJEKT_CELKOVÉ NÁKLADY'!$G$186</definedName>
    <definedName name="Cena_2e">'OBJEKT_CELKOVÉ NÁKLADY'!$G$201</definedName>
    <definedName name="Cena_2f">'OBJEKT_CELKOVÉ NÁKLADY'!$G$228</definedName>
    <definedName name="Cena_2g">'OBJEKT_CELKOVÉ NÁKLADY'!$G$234</definedName>
    <definedName name="Cena_2h">'OBJEKT_CELKOVÉ NÁKLADY'!$G$240</definedName>
    <definedName name="Cena_2i">'OBJEKT_CELKOVÉ NÁKLADY'!$G$260</definedName>
    <definedName name="Cena_2j">'OBJEKT_CELKOVÉ NÁKLADY'!$G$275</definedName>
    <definedName name="Cena_2k">'OBJEKT_CELKOVÉ NÁKLADY'!$G$286</definedName>
    <definedName name="Cena_2l">'OBJEKT_CELKOVÉ NÁKLADY'!$G$306</definedName>
    <definedName name="Cena_2m">'OBJEKT_CELKOVÉ NÁKLADY'!$G$321</definedName>
    <definedName name="Cena_3a">'OBJEKT_CELKOVÉ NÁKLADY'!$G$234</definedName>
    <definedName name="Cena_3b">'OBJEKT_CELKOVÉ NÁKLADY'!$G$240</definedName>
    <definedName name="Cena_3c">'OBJEKT_CELKOVÉ NÁKLADY'!$G$260</definedName>
    <definedName name="Cena_3d">'OBJEKT_CELKOVÉ NÁKLADY'!$G$275</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NÁKLADY'!$G$327</definedName>
    <definedName name="Cena_doplňky_dodavatele">'OBJEKT_CELKOVÉ NÁKLADY'!#REF!</definedName>
    <definedName name="Dokoncovaci_prace">'OBJEKT_CELKOVÉ NÁKLADY'!$C$323</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NÁKLADY'!$C$76</definedName>
    <definedName name="Kapitola_2">'OBJEKT_CELKOVÉ NÁKLADY'!$C$103</definedName>
    <definedName name="Kapitola_2a">'OBJEKT_CELKOVÉ NÁKLADY'!$C$104</definedName>
    <definedName name="Kapitola_2b">'OBJEKT_CELKOVÉ NÁKLADY'!$C$121</definedName>
    <definedName name="Kapitola_2c">'OBJEKT_CELKOVÉ NÁKLADY'!$C$134</definedName>
    <definedName name="Kapitola_2d">'OBJEKT_CELKOVÉ NÁKLADY'!$C$166</definedName>
    <definedName name="Kapitola_2e">'OBJEKT_CELKOVÉ NÁKLADY'!$C$188</definedName>
    <definedName name="Kapitola_2f">'OBJEKT_CELKOVÉ NÁKLADY'!$C$203</definedName>
    <definedName name="Kapitola_2g">'OBJEKT_CELKOVÉ NÁKLADY'!$C$230</definedName>
    <definedName name="Kapitola_2h">'OBJEKT_CELKOVÉ NÁKLADY'!$C$236</definedName>
    <definedName name="Kapitola_2i">'OBJEKT_CELKOVÉ NÁKLADY'!$C$242</definedName>
    <definedName name="Kapitola_2j">'OBJEKT_CELKOVÉ NÁKLADY'!$C$262</definedName>
    <definedName name="Kapitola_2k">'OBJEKT_CELKOVÉ NÁKLADY'!$C$277</definedName>
    <definedName name="Kapitola_2l">'OBJEKT_CELKOVÉ NÁKLADY'!$C$288</definedName>
    <definedName name="Kapitola_2m">'OBJEKT_CELKOVÉ NÁKLADY'!$C$308</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NÁKLADY'!$A$1:$G$328</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NÁKLADY'!$C$18</definedName>
    <definedName name="Rekapitulace_2g">'OBJEKT_CELKOVÉ NÁKLADY'!$C$19</definedName>
    <definedName name="Rekapitulace_2h">'OBJEKT_CELKOVÉ NÁKLADY'!$C$20</definedName>
    <definedName name="Rekapitulace_2i">'OBJEKT_CELKOVÉ NÁKLADY'!$C$21</definedName>
    <definedName name="Rekapitulace_2j">'OBJEKT_CELKOVÉ NÁKLADY'!$C$22</definedName>
    <definedName name="Rekapitulace_2k">'OBJEKT_CELKOVÉ NÁKLADY'!$C$23</definedName>
    <definedName name="Rekapitulace_2l">'OBJEKT_CELKOVÉ NÁKLADY'!$C$24</definedName>
    <definedName name="Rekapitulace_2m">'OBJEKT_CELKOVÉ NÁKLADY'!$C$25</definedName>
    <definedName name="Rekapitulace_3">'OBJEKT_CELKOVÉ NÁKLADY'!#REF!</definedName>
    <definedName name="Rekapitulace_3a">'OBJEKT_CELKOVÉ NÁKLADY'!$C$20</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NÁKLADY'!$C$26</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<sst xmlns="http://schemas.openxmlformats.org/spreadsheetml/2006/main" count="965" uniqueCount="397">
  <si>
    <t>Dřez jednoduchý nerezový (400x500) se zápachovou uzávěrkou, specifikace dle PD</t>
  </si>
  <si>
    <t>počet mj</t>
  </si>
  <si>
    <t>cena mj</t>
  </si>
  <si>
    <t>cena celkem</t>
  </si>
  <si>
    <t>Rekapitulace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</si>
  <si>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</si>
  <si>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</si>
  <si>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</si>
  <si>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</si>
  <si>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</si>
  <si>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</si>
  <si>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</si>
  <si>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</si>
  <si>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</si>
  <si>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</si>
  <si>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</si>
  <si>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</si>
  <si>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</si>
  <si>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</si>
  <si>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</si>
  <si>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</si>
  <si>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</si>
  <si>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</si>
  <si>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</si>
  <si>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</si>
  <si>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</si>
  <si>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</si>
  <si>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</si>
  <si>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</si>
  <si>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</si>
  <si>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</si>
  <si>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</si>
  <si>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</si>
  <si>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</si>
  <si>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</si>
  <si>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</si>
  <si>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</si>
  <si>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</si>
  <si>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</si>
  <si>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</si>
  <si>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</si>
  <si>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</si>
  <si>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</si>
  <si>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</si>
  <si>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</si>
  <si>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</si>
  <si>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</si>
  <si>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</si>
  <si>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</si>
  <si>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</si>
  <si>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</si>
  <si>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</si>
  <si>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</si>
  <si>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</si>
  <si>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</si>
  <si>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</si>
  <si>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</si>
  <si>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</si>
  <si>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</si>
  <si>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</si>
  <si>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</si>
  <si>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</si>
  <si>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</si>
  <si>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</si>
  <si>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</si>
  <si>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</si>
  <si>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hydroizolační stěrky na svislé ploše za studena vč. systémových prvků</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</si>
  <si>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</si>
  <si>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</si>
  <si>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</si>
  <si>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</si>
  <si>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</si>
  <si>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</si>
  <si>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</si>
  <si>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</si>
  <si>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Umyvadlový sifon plastový</t>
  </si>
  <si>
    <t>Potrubí kanalizační z PP připojovací systém HT DN 50</t>
  </si>
  <si>
    <t>Potrubí kanalizační z PP připojovací systém HT DN 110</t>
  </si>
  <si>
    <t>Koleno HTB, úhel 45°, DN 50</t>
  </si>
  <si>
    <t>Zkouška těsnosti potrubí kanalizace vodou do DN 125</t>
  </si>
  <si>
    <t>Zkouška těsnosti vodovodního potrubí hrdlového nebo přírubového do DN 100</t>
  </si>
  <si>
    <t>Proplach a dezinfekce vodovodního potrubí do DN 80</t>
  </si>
  <si>
    <t>Nástěnka závitová plastová PPR PN 20 DN 20 x G 1/2</t>
  </si>
  <si>
    <t>Příplatek za nestandardní povrchovou úpravu Q3</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</si>
  <si>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</si>
  <si>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</si>
  <si>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</si>
  <si>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</si>
  <si>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</si>
  <si>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</si>
  <si>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Spojovací a kotevní materiál</t>
  </si>
  <si>
    <t>Těsná zpětná klapka, ref. výrobek RSKW 125</t>
  </si>
  <si>
    <t>Al ukončovací lišta profilu L10mm, vč. prořezu 10%</t>
  </si>
  <si>
    <t>Závěrečné omytí schodišť a vstupních prostor</t>
  </si>
  <si>
    <t>Uložení ostatních vybouraných hmot na skládku vč. poplatků za skládkovné</t>
  </si>
  <si>
    <t>Vnitrostaveništní doprava suti a vybouraných hmot</t>
  </si>
  <si>
    <t>Vodorovné přemístění suti na skládku do 6000 m</t>
  </si>
  <si>
    <t>Vyvěšení dřevěných dveřních křídel pl. do 2 m2</t>
  </si>
  <si>
    <t>Demontáž umyvadla včetně baterie a konzol</t>
  </si>
  <si>
    <t>Demontáž uzávěrek zápachových jednoduchých</t>
  </si>
  <si>
    <t>Uložení dřevěných vybouraných hmot na skládku vč. poplatků za skládkovné</t>
  </si>
  <si>
    <t>2i</t>
  </si>
  <si>
    <t>2j</t>
  </si>
  <si>
    <t>2k</t>
  </si>
  <si>
    <t>2l</t>
  </si>
  <si>
    <t>2m</t>
  </si>
  <si>
    <t>D+M</t>
  </si>
  <si>
    <t>Autonomní hlásič kouře</t>
  </si>
  <si>
    <t>Dodávka a montáž kuchyňské linky - bez spotřebičů</t>
  </si>
  <si>
    <t>Baterie umyvadlová stojánková páková vč.flexo hadiček</t>
  </si>
  <si>
    <t>Baterie sprchová nástěnná páková včetně sprchového setu a příslušenství - specifikace dle PD</t>
  </si>
  <si>
    <t>Uzávěrka zápachová dřezová</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</si>
  <si>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</si>
  <si>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</si>
  <si>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</si>
  <si>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</si>
  <si>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</si>
  <si>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</si>
  <si>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</si>
  <si>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</si>
  <si>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Montáž - stanoveno procentní sazbou z dodávky</t>
  </si>
  <si>
    <t>Kompletace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</si>
  <si>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</si>
  <si>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</si>
  <si>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</si>
  <si>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Potrubí vodovodní plastové PPR svar polyfuze PN 20 DN 16 vč.zed.výpom.</t>
  </si>
  <si>
    <t>Potrubí vodovodní plastové PPR svar polyfuze PN 20 DN 20 vč.zed.výpom.</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</si>
  <si>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</si>
  <si>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</si>
  <si>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</si>
  <si>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</si>
  <si>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</si>
  <si>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</si>
  <si>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</si>
  <si>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</si>
  <si>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</si>
  <si>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</si>
  <si>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</si>
  <si>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č.1 - jednopólový</t>
  </si>
  <si>
    <t>spínač č.5 - sériový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</si>
  <si>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</si>
  <si>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</si>
  <si>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</si>
  <si>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</si>
  <si>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</si>
  <si>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</si>
  <si>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</si>
  <si>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</si>
  <si>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</si>
  <si>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</si>
  <si>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</si>
  <si>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</si>
  <si>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</si>
  <si>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</si>
  <si>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</si>
  <si>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</si>
  <si>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</si>
  <si>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</si>
  <si>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</si>
  <si>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</si>
  <si>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</si>
  <si>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</si>
  <si>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</si>
  <si>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</si>
  <si>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</si>
  <si>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</si>
  <si>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</si>
  <si>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</si>
  <si>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</si>
  <si>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</si>
  <si>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</si>
  <si>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</si>
  <si>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</si>
  <si>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</si>
  <si>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</si>
  <si>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</si>
  <si>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</si>
  <si>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</si>
  <si>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</si>
  <si>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</si>
  <si>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</si>
  <si>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</si>
  <si>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</si>
  <si>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</si>
  <si>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</si>
  <si>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</si>
  <si>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Baterie dřezové stojánkové pákové směšovací, chrom,  vč.flexo hadiček - specifikace dle PD</t>
  </si>
  <si>
    <t>Izolace návleková  tl. stěny 13 mm vnitřní průměr 25 mm</t>
  </si>
  <si>
    <t>Izolace návleková  tl. stěny 13 mm vnitřní průměr 32 mm</t>
  </si>
  <si>
    <t>Kompletační činnost včetně pravidelného úklidu staveniště</t>
  </si>
  <si>
    <t>Penetrace podkladu vnitřních stěn vč. dodání</t>
  </si>
  <si>
    <t>Obkládání stěn vnitř.keram. do tmele do 200x600 mm vč. spárování</t>
  </si>
  <si>
    <t>Lišta hliníková přechodová, různá výška podlah. Podrobně viz tabulka prvků PSV</t>
  </si>
  <si>
    <t>SK1,2-M</t>
  </si>
  <si>
    <t>SK1-D</t>
  </si>
  <si>
    <t>Koleno HTB, úhel 45°, DN 110</t>
  </si>
  <si>
    <t>Odbočka HTEA, úhel 45°, DN 50/50</t>
  </si>
  <si>
    <t>SOK2-D</t>
  </si>
  <si>
    <t>SOK2-M</t>
  </si>
  <si>
    <t>Odbočka HTEA, úhel 45°, DN 110/50</t>
  </si>
  <si>
    <t>Odbočka HTEA, úhel 45°, DN 100/100</t>
  </si>
  <si>
    <t>Redukce nesouosá HTR, DN 110/50</t>
  </si>
  <si>
    <t>Svislá doprava suti a vybour. hmot za 2.NP nošením</t>
  </si>
  <si>
    <t>Malba disperzní, penetrace 1x, malba bílá 2x, STĚNY</t>
  </si>
  <si>
    <t>Malba disperzní, penetrace 1x, malba bílá 2x, STROPY</t>
  </si>
  <si>
    <t>o</t>
  </si>
  <si>
    <t>Rozdělení podle investic a oprav (bez NÚS a DPH)</t>
  </si>
  <si>
    <t>Opravy</t>
  </si>
  <si>
    <t>Investice</t>
  </si>
  <si>
    <t>Rozdělení NÚS podle investic a oprav</t>
  </si>
  <si>
    <t>Rozdělení podle investic a oprav vč. NÚS bez DPH</t>
  </si>
  <si>
    <t xml:space="preserve">opravy </t>
  </si>
  <si>
    <t xml:space="preserve">investice </t>
  </si>
  <si>
    <t xml:space="preserve">kontrola </t>
  </si>
  <si>
    <t>i</t>
  </si>
  <si>
    <t>Cena bez DPH</t>
  </si>
  <si>
    <t>m3</t>
  </si>
  <si>
    <t>Keramická dlažba dle specifikace v PD vč. prořezu 10%, včetně lepícího tmelu</t>
  </si>
  <si>
    <t>KD(I)1-M</t>
  </si>
  <si>
    <t>Minerální vata (40kg/m3) podhledu tl. 40mm</t>
  </si>
  <si>
    <t xml:space="preserve">Demontáž připojovacího potrubí kanalizace, vodovodu </t>
  </si>
  <si>
    <t>Umyvadlo keramické připevněné na stěnu šrouby vč. pilety clickclack- specifikace dle PD</t>
  </si>
  <si>
    <t>Přípravné a bourací práce</t>
  </si>
  <si>
    <t>Keramická dlažba dle specifikace v PD (sokl - proveden pásky 80 mm z řezané dlažby, 2ks z dlaždice)</t>
  </si>
  <si>
    <t xml:space="preserve">Tmelení akrylátovým tmelem </t>
  </si>
  <si>
    <t>Úpravy povrchů vnitřní (stěny, stropy)</t>
  </si>
  <si>
    <t>Rezerva na případné dobetonování popř. požární utěsnění prostupů stoupaček vody, kanalizace a vzt, bude účtováno dle skutečnosti, oceněna jen jedn. cena</t>
  </si>
  <si>
    <t xml:space="preserve">Stavební přípomoce </t>
  </si>
  <si>
    <t>Hydroizolační koutová těsnící páska vč. rohových tvarovek (svislé stěny)</t>
  </si>
  <si>
    <t>Hydroizolační koutová těsnící páska vč. rohových tvarovek (vororovné plochy)</t>
  </si>
  <si>
    <t>Odstranění nesoudržných štukových omítek (odhad 10% z plochy stěn a stropů)</t>
  </si>
  <si>
    <t>DU1</t>
  </si>
  <si>
    <t>DU2</t>
  </si>
  <si>
    <t>DU3-M</t>
  </si>
  <si>
    <t>DU3a-D</t>
  </si>
  <si>
    <t>DU3b-D</t>
  </si>
  <si>
    <t>DU3-D</t>
  </si>
  <si>
    <t>Odstranění stávajících nesoudržných maleb oškrábáním (strop, stěny), odhad 100% plochy</t>
  </si>
  <si>
    <t>Keramický obklad dle specifikace v PD - dekor kytky, vč. prořezu 10%</t>
  </si>
  <si>
    <t>T01</t>
  </si>
  <si>
    <t xml:space="preserve"> </t>
  </si>
  <si>
    <t>Z01</t>
  </si>
  <si>
    <t>V2</t>
  </si>
  <si>
    <t>DU4</t>
  </si>
  <si>
    <t>D3-D</t>
  </si>
  <si>
    <t>Montáž podlah keram.,režné hladké, včetně lepícího tmelu, 33x33cm</t>
  </si>
  <si>
    <t>KD(I)1</t>
  </si>
  <si>
    <t xml:space="preserve">Tmelení spár u obkladu, soklu a dlažby (svislé + vodorovné), tmelení návazností na zárubně, zařizovací předměty </t>
  </si>
  <si>
    <t xml:space="preserve">Montáž dřevěné soklové podlahové lišty </t>
  </si>
  <si>
    <t>Penetrace pro sádrovláknité desky</t>
  </si>
  <si>
    <t>V3</t>
  </si>
  <si>
    <t>V4</t>
  </si>
  <si>
    <t>Demontáž baterie</t>
  </si>
  <si>
    <t>SK2</t>
  </si>
  <si>
    <t>Revizní sdk dvířka pro obklad s tlačným zámkem a závesy 200/300mm (u uzávěru vody a vodměru), včetně kotvícího materiálu</t>
  </si>
  <si>
    <t>Kulový kohout s vypouštěním DN20</t>
  </si>
  <si>
    <t>Kulový kohout DN20</t>
  </si>
  <si>
    <t>Pojistný ventil vč. zpětné klapky DN20</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</si>
  <si>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</si>
  <si>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</si>
  <si>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</si>
  <si>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Parotěsná zábrana tl. min. 0,22mm, propustnost páry – difuzní tloušťka Sd 50m</t>
  </si>
  <si>
    <t>Montáž SDK podhledu jednoduše opláštěného s MW na jednoúrovňový rošt s parotěsnou zábranou, vč dodávky nosných profilů</t>
  </si>
  <si>
    <t>SK2-D</t>
  </si>
  <si>
    <t>Sádrokartonová standardní deska, vč. prořezu 10%</t>
  </si>
  <si>
    <t>Sádrová štuková omítka hladká jednovrstvá vnitřních stěn nanášená ručně</t>
  </si>
  <si>
    <t>Penetrace podkladu vnitřních stěn před prováděním obkladů vč. dodání</t>
  </si>
  <si>
    <t>A – svítidlo  nástěnné LED , 16W, IP20</t>
  </si>
  <si>
    <t>spínač č. 7 - křížový</t>
  </si>
  <si>
    <t>sporáková přípojka</t>
  </si>
  <si>
    <t>autonomní detektor kouře</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</si>
  <si>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</si>
  <si>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</si>
  <si>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</si>
  <si>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</si>
  <si>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</si>
  <si>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</si>
  <si>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</si>
  <si>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</si>
  <si>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</si>
  <si>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</si>
  <si>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</si>
  <si>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</si>
  <si>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</si>
  <si>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</si>
  <si>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Vápenocementová dvouvrstvá omítka se sádrovým štukem nanášená ručně na stropy, vč. zbroušení v návaznosti na stávající omítku (v místě drážek šířky do 100 mm)</t>
  </si>
  <si>
    <t xml:space="preserve">přesun hmot, doprava </t>
  </si>
  <si>
    <t>Podlahy povlakové</t>
  </si>
  <si>
    <t>Nadstřěšní větrací hlavice</t>
  </si>
  <si>
    <t>Vzduchovody - spiro potrubí 125mm, vč. příslušenství</t>
  </si>
  <si>
    <t>https://www.ventila-vzduchotechnika.cz/ventilator/ventilatory/koupelnove-ventilatory/koupelnove-ventilatory-vysokotlake--radialni/radialni-ventilatory-do-koupelny-vortice/radialni-ventilatory-do-koupelny-vortice-quadro--zapusteny/produkt/radialni-ventilator-do-koupelny-vortice-quadro-medio-i</t>
  </si>
  <si>
    <t>Dozdívky z plných cihel. tl. 200 mm hlad. P2,5-450 vč. spražení se stávající zděnou stěnou</t>
  </si>
  <si>
    <t>Montáž výztužné sítě (perlinky) do stěrky - vnit.stěny včetně výztužné sítě a stěrkového tmelu</t>
  </si>
  <si>
    <t>DU3</t>
  </si>
  <si>
    <t>Úprava polohy uzavíracích kohoutu  studené vody a příprava pro osazení vodoměru</t>
  </si>
  <si>
    <t>Příplatek za osazení mřížky s použitím žebříku z prostor dvora sousedního objektu</t>
  </si>
  <si>
    <t>Hladké VZT potrubí průměru 100mm</t>
  </si>
  <si>
    <t>Radiální ventilátor do koupelny s napojením pro potrubí prům. 100mm, pro montáž do podhledu, s doběhovým relé, vč. zpětné klapky</t>
  </si>
  <si>
    <t>Koleno 125/90° pro spiro potrubí</t>
  </si>
  <si>
    <t xml:space="preserve">Montáž dveří do ocelové zárubně </t>
  </si>
  <si>
    <t>Práh dřevěný d. 800 mm, š.300mm, vč. povrchové úpravy a kotvení</t>
  </si>
  <si>
    <t>Vestavná el. trouba ref. vyýrobek MORA VT 433 BX</t>
  </si>
  <si>
    <t>Osazení ocelové zárubně dodatečně, do 2,5m2</t>
  </si>
  <si>
    <t>Dveře dřevěné vnitřní 1křídlové 70x197 cm dle specifikace v PD</t>
  </si>
  <si>
    <t>Dveře dřevěné vnitřní 1křídlové prosklené 80x197 cm dle specifikace v PD</t>
  </si>
  <si>
    <t>Dveře dřevohliníkové, zateplené, akustikcé, vstupní 1křídlové 80x197 cm, s požární odlností EI30DP3, dle specifikace v PD</t>
  </si>
  <si>
    <t>D1-4-M</t>
  </si>
  <si>
    <t>Protipožární zárubeň ocelová 800/1970mm do hotového otvoru, ústí do 300mm dle specifikace v PD, včetně těsnění a povrchové úpravy</t>
  </si>
  <si>
    <t>PV1</t>
  </si>
  <si>
    <t>KD(I)1-D</t>
  </si>
  <si>
    <t>Vytmelení spár dlažby spárovacími tmely vč. dodávky tmelů</t>
  </si>
  <si>
    <t>Obklad soklíků keram.rovných, tmel,výška 80 mm do lepidla + spár, vč. úpravy horní hrany v návaznosti na omítku</t>
  </si>
  <si>
    <t>Plošné lepení k podkladu, vč. lepidla</t>
  </si>
  <si>
    <t>Podlaha z PVC -dekor dřevo, specifikace dle PD, vč. prořezu 10%</t>
  </si>
  <si>
    <t>Samonivelační stěrka vhodná na sádrovláknité desky, tl.5mm</t>
  </si>
  <si>
    <t>Odebrání škvárového násypu tl.100mm</t>
  </si>
  <si>
    <t>Dodávka a montáž podlahy z desek sádrovláknitých tl 2x12,5 mm (např.2E22), vč. prořezu 10%, dle specifikace v PD</t>
  </si>
  <si>
    <t>Vyrovnávací podsyp z porobetonového granulátu tl.10mm, dle specifikace v PD</t>
  </si>
  <si>
    <t>Polystyrenová deska EPS DEO (200 kPa), tl.120mm</t>
  </si>
  <si>
    <t>Stavební úpravy bytové jednotky č.1, Holubova 2518/2, 150 00 Praha 5</t>
  </si>
  <si>
    <t>Demontáž spotřebičů (elektrické topidlo) a likvidace</t>
  </si>
  <si>
    <t>Vybourání obložkových dřevěných dveřních zárubní ze zdiva</t>
  </si>
  <si>
    <t>Demontáž zařízení (koberec, zrcadla, zbytky kuchyňské linky, poličky, garnýže)</t>
  </si>
  <si>
    <t>Vybourání dřevěných prken do  tl. 30mm</t>
  </si>
  <si>
    <t>Vybourání dřevotřískové desky do  tl. 20mm</t>
  </si>
  <si>
    <t>Demontáž dřevěných vlysů do tl. 28mm</t>
  </si>
  <si>
    <t xml:space="preserve">Bourání zděných příček do  tl. 30 cm </t>
  </si>
  <si>
    <t>Vybourání dř. hranolů - polštářů 100/100 (odhad)</t>
  </si>
  <si>
    <t>0,87*2,05+0,9*2,24</t>
  </si>
  <si>
    <t>Bourání nových prostupu na fasádě pro VZT</t>
  </si>
  <si>
    <t>Bourání nového prostupu (v podlaze, stěnách v 1PP) pro kanalizaci</t>
  </si>
  <si>
    <t>(2,58+2,38)*2,82+1,1*2,86-0,8*2,05-0,9*2,05</t>
  </si>
  <si>
    <t>DS1</t>
  </si>
  <si>
    <t>Montáž akustické SDK předstěny dvojitě opláštěné s MW, tl.100mm, vč dodávky nosných profilů</t>
  </si>
  <si>
    <t>DS1-D</t>
  </si>
  <si>
    <t>Minerální vata (40kg/m3) podhledu tl. 60mm</t>
  </si>
  <si>
    <t xml:space="preserve">Montáž kapotáže sdk pro vzt potrubí u digestoře </t>
  </si>
  <si>
    <t xml:space="preserve">Vyrovnání povrchu podkladu před obkladem pro dodržení požadované svislosti, uvažováno na 75% plochy </t>
  </si>
  <si>
    <t>101.1 =  13,8*2,8-0,955*2,07-0,95*2,11-0,9*1,83+(4*1,2)</t>
  </si>
  <si>
    <t>101.2 =  13,6*2,8-0,95*2,11-0,9*1,83+(7,7*1,2)</t>
  </si>
  <si>
    <t>0,6*(1,6+2*0,6)+1,41*2,4</t>
  </si>
  <si>
    <t xml:space="preserve">Vápenocementová omítka, u nových vyzdívek z PC, rýh ve stěnách šířky do 150 mm (začištění drážek vedení instalací), vysprávky vnitřních omítek stěn a stropů (zapravení stávajících poruch)  odhad 10% z celkové plochy omítek. </t>
  </si>
  <si>
    <t>Odbočka HT, úhel 67°, DN 110/110</t>
  </si>
  <si>
    <t>Mřížka přívzdušnovací hlavice 100/100mm, PVC bíla</t>
  </si>
  <si>
    <t>Přivzdušnovací hlavice se zamezením zápachu z potrubí DN 50</t>
  </si>
  <si>
    <t>Vanička sprchová čtvercová 800x800/30 mm litý mramor vč. sifonu - specifikace dle PD</t>
  </si>
  <si>
    <t>Zástěna sprchová otevírava do výšky 2000 mm, š.800mm dle specifikace v PD</t>
  </si>
  <si>
    <t>Vodorovný závěsný el. bojler 80l, příkon 2,2kW vč. příslušenství (závěsů, kotvení, aj)</t>
  </si>
  <si>
    <t>Flexibilní AL potrubí 120mm (komínová vložka), vč. příslušenství</t>
  </si>
  <si>
    <t>Nadstřešní hlavice</t>
  </si>
  <si>
    <t>vent. T kus 100 PVC (131p) se zavičkováním na spodní straně pro případný kondenzát v komínovém průduchu</t>
  </si>
  <si>
    <t xml:space="preserve">Repase oken  1,1/1,83 m (doplnění/výměna kliček, vytmelení, oborušení, oprava defektů, nátěr) </t>
  </si>
  <si>
    <t>Zárubeň ocelová 700/1970mm  pro zazdivání, ústí do 100mm dle specifikace v PD, včetně těsnění a povrchové úpravy</t>
  </si>
  <si>
    <t>Osazení ocelové zárubně zazdíváním, do 2,5m2</t>
  </si>
  <si>
    <t>Deska sklokeramická, dvouplotýnka ref. výrobek BEKO HDMC 32400 TX</t>
  </si>
  <si>
    <t>Vestavná nerezová digestoř fer. Výrobek Mora OP 520 X, vč. montáže</t>
  </si>
  <si>
    <t>Osazení ocelových nosníků IPE 100</t>
  </si>
  <si>
    <t>Ocelový nosník IPE 100</t>
  </si>
  <si>
    <t>Vyrovnávací podsyp z porobetonového granulátu do tl.25mm, dle specifikace v PD</t>
  </si>
  <si>
    <t>Oprava podlahy chodby - drážka vody</t>
  </si>
  <si>
    <t>Stavební úpravy bytové jednotky 1, Holubova 2518/2, Praha 5 - Košíře</t>
  </si>
  <si>
    <t>svítidlo  pod linku s vypínačem</t>
  </si>
  <si>
    <t>CYKY-J 5x6</t>
  </si>
  <si>
    <t>CYKYLo 3Cx1,5</t>
  </si>
  <si>
    <t>el.žebřík - 700W</t>
  </si>
  <si>
    <t>el.přímotop 2000W</t>
  </si>
  <si>
    <t>vysekání niky pro RB</t>
  </si>
  <si>
    <t>zapojení digestoře, ventilátoru</t>
  </si>
  <si>
    <t>rozvaděč provedení do zdi, IP30,26 modulů</t>
  </si>
  <si>
    <t>Jistič 6/1-B, 10kA (2A do RE)</t>
  </si>
  <si>
    <t>relé S20-20</t>
  </si>
  <si>
    <t>zásuvka telefonní</t>
  </si>
  <si>
    <t>krabice s víčkem ( STA)</t>
  </si>
  <si>
    <t>montáž telefonního vodiče UTP (FTP)</t>
  </si>
  <si>
    <t>Klozet závěsný s hlubokým splachováním odpad vodorovný, vč. sedátka  - specifikace dle PD</t>
  </si>
  <si>
    <t>Předstěnový systém pro závěsné WC pro zazdění, h=108cm, přední ovládání Sigma</t>
  </si>
  <si>
    <t>Tlačítko ovládací plastové dvojčinné, Sigma 20/bílá/chrom/bíla</t>
  </si>
  <si>
    <t>PVC koleno 90°/100</t>
  </si>
  <si>
    <t xml:space="preserve">Mřížka kulatá nerezová pro výfuk na fasádu, průměru 100mm, se  síťovinou, síťka kovová </t>
  </si>
  <si>
    <t>3,4+1,5+1+0,5*2,38</t>
  </si>
  <si>
    <t>Přizdívka z tvárnic porobet. tl. 100 mm hlad. P2,5-450 vč. spražení s zděnou stěnou (navrtané trny nebo pásovina do každé třetí spáry po cca 1,0 m</t>
  </si>
  <si>
    <t>1,41*1,2</t>
  </si>
  <si>
    <t>DU5</t>
  </si>
  <si>
    <t>Vyspravení podkladu jemnou stěrkou + hydrozolační stěrka + dř. prkno 900/220mm, dubové, tl. 20mm, inpregnované ze spodní strany, viditelná strana nátřená, RAL dle nátěru oken</t>
  </si>
  <si>
    <t>1,19*2,2 + 0,1*2,24</t>
  </si>
  <si>
    <t>Příčka z SDK jednoduše opláštěné s MW, tl.75mm, vč dodávky nosných profilů</t>
  </si>
  <si>
    <t>DS2</t>
  </si>
  <si>
    <t>Minerální vata (40kg/m3) podhledu tl. 50mm</t>
  </si>
  <si>
    <t>Sádrokartonová mechnaikcy odolná deska, vč. prořezu 10%</t>
  </si>
  <si>
    <t>DS2-D</t>
  </si>
  <si>
    <t>2,38*2,82+2,38*2,82</t>
  </si>
  <si>
    <t>Sádrokartonová akustická deska, vč. prořezu 20%</t>
  </si>
  <si>
    <t>Podezdívka sprchové vanička (800/800mm) výšky do 150 mm  tl. 100 mm vč.provedení revizního otvoru pro obklad na silikon</t>
  </si>
  <si>
    <t>101.1 =  1,12*2,5-0,9*2,05</t>
  </si>
  <si>
    <t>101.2 =  (12,6+3,2)*2,83-0,9*2,3-2*0,9*1,81-0,6*(1,6+2*0,6)</t>
  </si>
  <si>
    <t>společná chodba = 1,19*2,2</t>
  </si>
  <si>
    <t>101.3 =  1,41*1,3</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</si>
</sst>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s>
  <fonts count="54">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8"/>
      <color indexed="1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b/>
      <sz val="8"/>
      <color indexed="10"/>
      <name val="Arial"/>
      <family val="2"/>
    </font>
    <font>
      <i/>
      <sz val="10"/>
      <color indexed="10"/>
      <name val="Arial"/>
      <family val="2"/>
    </font>
    <font>
      <sz val="10"/>
      <color indexed="10"/>
      <name val="Arial"/>
      <family val="2"/>
    </font>
    <font>
      <sz val="10"/>
      <color indexed="40"/>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color indexed="63"/>
      </top>
      <bottom style="thin"/>
    </border>
    <border>
      <left style="thin"/>
      <right style="thin"/>
      <top style="thin"/>
      <bottom style="thin"/>
    </border>
    <border>
      <left style="hair">
        <color indexed="8"/>
      </left>
      <right style="hair">
        <color indexed="8"/>
      </right>
      <top>
        <color indexed="63"/>
      </top>
      <bottom>
        <color indexed="63"/>
      </bottom>
    </border>
    <border>
      <left>
        <color indexed="63"/>
      </left>
      <right>
        <color indexed="63"/>
      </right>
      <top style="medium"/>
      <bottom style="hair"/>
    </border>
    <border>
      <left>
        <color indexed="63"/>
      </left>
      <right>
        <color indexed="63"/>
      </right>
      <top style="hair"/>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11">
    <xf numFmtId="0" fontId="0" fillId="0" borderId="0" xfId="0" applyAlignment="1">
      <alignment/>
    </xf>
    <xf numFmtId="0" fontId="0" fillId="0" borderId="0" xfId="0" applyFont="1" applyAlignment="1">
      <alignment/>
    </xf>
    <xf numFmtId="0" fontId="0" fillId="0" borderId="0" xfId="0" applyFont="1" applyAlignment="1">
      <alignment vertical="center"/>
    </xf>
    <xf numFmtId="0" fontId="19" fillId="0" borderId="9" xfId="0" applyFont="1" applyBorder="1" applyAlignment="1">
      <alignment horizontal="right"/>
    </xf>
    <xf numFmtId="0" fontId="0" fillId="0" borderId="10" xfId="0" applyFont="1" applyBorder="1" applyAlignment="1">
      <alignment/>
    </xf>
    <xf numFmtId="0" fontId="20" fillId="0" borderId="0" xfId="0" applyFont="1" applyAlignment="1">
      <alignment/>
    </xf>
    <xf numFmtId="0" fontId="20" fillId="0" borderId="0" xfId="0" applyFont="1" applyAlignment="1">
      <alignment vertical="center"/>
    </xf>
    <xf numFmtId="0" fontId="0" fillId="0" borderId="0" xfId="0" applyFont="1" applyFill="1" applyAlignment="1">
      <alignment/>
    </xf>
    <xf numFmtId="3" fontId="0" fillId="2" borderId="0" xfId="0" applyNumberFormat="1" applyFont="1" applyFill="1" applyBorder="1" applyAlignment="1">
      <alignment vertical="center"/>
    </xf>
    <xf numFmtId="0" fontId="29" fillId="0" borderId="0" xfId="0" applyFont="1" applyAlignment="1">
      <alignment/>
    </xf>
    <xf numFmtId="0" fontId="29" fillId="0" borderId="0" xfId="0" applyFont="1" applyAlignment="1">
      <alignment vertical="center"/>
    </xf>
    <xf numFmtId="0" fontId="30" fillId="0" borderId="0" xfId="0" applyFont="1" applyAlignment="1">
      <alignment/>
    </xf>
    <xf numFmtId="0" fontId="0" fillId="0" borderId="0" xfId="66" applyFont="1" applyFill="1" applyBorder="1" applyAlignment="1">
      <alignment vertical="center"/>
      <protection/>
    </xf>
    <xf numFmtId="0" fontId="0" fillId="0" borderId="0" xfId="66" applyFont="1" applyFill="1" applyBorder="1" applyAlignment="1">
      <alignment vertical="center" wrapText="1"/>
      <protection/>
    </xf>
    <xf numFmtId="0" fontId="0" fillId="0" borderId="0" xfId="66" applyFont="1" applyFill="1" applyBorder="1">
      <alignment/>
      <protection/>
    </xf>
    <xf numFmtId="3" fontId="0" fillId="0" borderId="0" xfId="0" applyNumberFormat="1" applyFont="1" applyBorder="1" applyAlignment="1">
      <alignment/>
    </xf>
    <xf numFmtId="167" fontId="0" fillId="0" borderId="0" xfId="0" applyNumberFormat="1" applyFont="1" applyAlignment="1">
      <alignment/>
    </xf>
    <xf numFmtId="167" fontId="19" fillId="0" borderId="9" xfId="0" applyNumberFormat="1" applyFont="1" applyBorder="1" applyAlignment="1">
      <alignment horizontal="right"/>
    </xf>
    <xf numFmtId="167" fontId="0" fillId="0" borderId="10" xfId="0" applyNumberFormat="1" applyFont="1" applyBorder="1" applyAlignment="1">
      <alignment/>
    </xf>
    <xf numFmtId="167" fontId="29" fillId="0" borderId="0" xfId="0" applyNumberFormat="1" applyFont="1" applyAlignment="1">
      <alignment/>
    </xf>
    <xf numFmtId="167" fontId="0" fillId="0" borderId="0" xfId="0" applyNumberFormat="1" applyFont="1" applyBorder="1" applyAlignment="1">
      <alignment/>
    </xf>
    <xf numFmtId="167" fontId="0" fillId="0" borderId="0" xfId="0" applyNumberFormat="1" applyFont="1" applyFill="1" applyBorder="1" applyAlignment="1">
      <alignment/>
    </xf>
    <xf numFmtId="0" fontId="28" fillId="0" borderId="0" xfId="0" applyFont="1" applyFill="1" applyBorder="1" applyAlignment="1">
      <alignment vertical="center"/>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vertical="center"/>
    </xf>
    <xf numFmtId="0" fontId="0" fillId="0" borderId="0" xfId="0" applyFont="1" applyBorder="1" applyAlignment="1">
      <alignment/>
    </xf>
    <xf numFmtId="4" fontId="0" fillId="0" borderId="0" xfId="0" applyNumberFormat="1" applyFont="1" applyBorder="1" applyAlignment="1">
      <alignment/>
    </xf>
    <xf numFmtId="0" fontId="1" fillId="0" borderId="0" xfId="66" applyFont="1" applyFill="1" applyBorder="1" applyAlignment="1">
      <alignment vertical="center"/>
      <protection/>
    </xf>
    <xf numFmtId="3" fontId="1" fillId="0" borderId="0" xfId="0" applyNumberFormat="1" applyFont="1" applyFill="1" applyBorder="1" applyAlignment="1">
      <alignment horizontal="center" vertical="center"/>
    </xf>
    <xf numFmtId="177" fontId="1" fillId="0" borderId="0" xfId="0" applyNumberFormat="1" applyFont="1" applyFill="1" applyBorder="1" applyAlignment="1">
      <alignment vertical="center"/>
    </xf>
    <xf numFmtId="167"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left" vertical="center" wrapText="1"/>
    </xf>
    <xf numFmtId="0" fontId="30" fillId="0" borderId="0" xfId="66" applyFont="1" applyFill="1" applyBorder="1" applyAlignment="1">
      <alignment vertical="center"/>
      <protection/>
    </xf>
    <xf numFmtId="3" fontId="1" fillId="0" borderId="11" xfId="0" applyNumberFormat="1" applyFont="1" applyFill="1" applyBorder="1" applyAlignment="1">
      <alignment horizontal="left" vertical="center" wrapText="1"/>
    </xf>
    <xf numFmtId="3" fontId="1" fillId="0" borderId="11" xfId="0" applyNumberFormat="1" applyFont="1" applyFill="1" applyBorder="1" applyAlignment="1">
      <alignment horizontal="left" vertical="center"/>
    </xf>
    <xf numFmtId="167" fontId="1" fillId="0" borderId="11" xfId="0" applyNumberFormat="1" applyFont="1" applyFill="1" applyBorder="1" applyAlignment="1">
      <alignment horizontal="right" vertical="center"/>
    </xf>
    <xf numFmtId="177" fontId="1" fillId="0" borderId="11" xfId="0" applyNumberFormat="1" applyFont="1" applyFill="1" applyBorder="1" applyAlignment="1">
      <alignment vertical="center"/>
    </xf>
    <xf numFmtId="0" fontId="20" fillId="0" borderId="0" xfId="0" applyFont="1" applyBorder="1" applyAlignment="1">
      <alignment/>
    </xf>
    <xf numFmtId="0" fontId="29" fillId="0" borderId="0" xfId="0" applyFont="1" applyBorder="1" applyAlignment="1">
      <alignment/>
    </xf>
    <xf numFmtId="0" fontId="31" fillId="6" borderId="12" xfId="66" applyFont="1" applyFill="1" applyBorder="1" applyAlignment="1">
      <alignment vertical="center" wrapText="1"/>
      <protection/>
    </xf>
    <xf numFmtId="0" fontId="1" fillId="6" borderId="13" xfId="66" applyFont="1" applyFill="1" applyBorder="1">
      <alignment/>
      <protection/>
    </xf>
    <xf numFmtId="167" fontId="1" fillId="6" borderId="13" xfId="0" applyNumberFormat="1" applyFont="1" applyFill="1" applyBorder="1" applyAlignment="1">
      <alignment/>
    </xf>
    <xf numFmtId="177" fontId="1" fillId="6" borderId="13" xfId="0" applyNumberFormat="1" applyFont="1" applyFill="1" applyBorder="1" applyAlignment="1">
      <alignment/>
    </xf>
    <xf numFmtId="177" fontId="1" fillId="6" borderId="14" xfId="0" applyNumberFormat="1" applyFont="1" applyFill="1" applyBorder="1" applyAlignment="1">
      <alignment/>
    </xf>
    <xf numFmtId="0" fontId="20" fillId="6" borderId="12" xfId="66" applyFont="1" applyFill="1" applyBorder="1" applyAlignment="1">
      <alignment vertical="center" wrapText="1"/>
      <protection/>
    </xf>
    <xf numFmtId="0" fontId="0" fillId="6" borderId="13" xfId="66" applyFont="1" applyFill="1" applyBorder="1">
      <alignment/>
      <protection/>
    </xf>
    <xf numFmtId="167" fontId="0" fillId="6" borderId="13" xfId="0" applyNumberFormat="1" applyFont="1" applyFill="1" applyBorder="1" applyAlignment="1">
      <alignment/>
    </xf>
    <xf numFmtId="3" fontId="0" fillId="6" borderId="14" xfId="0" applyNumberFormat="1" applyFont="1" applyFill="1" applyBorder="1" applyAlignment="1">
      <alignment/>
    </xf>
    <xf numFmtId="0" fontId="21" fillId="0" borderId="15" xfId="0" applyFont="1" applyBorder="1" applyAlignment="1">
      <alignment vertical="center"/>
    </xf>
    <xf numFmtId="0" fontId="21" fillId="0" borderId="16" xfId="0" applyFont="1" applyBorder="1" applyAlignment="1">
      <alignment horizontal="right"/>
    </xf>
    <xf numFmtId="0" fontId="23" fillId="0" borderId="17" xfId="0" applyFont="1" applyBorder="1" applyAlignment="1">
      <alignment vertical="center"/>
    </xf>
    <xf numFmtId="0" fontId="0" fillId="0" borderId="18" xfId="0" applyFont="1" applyBorder="1" applyAlignment="1">
      <alignment/>
    </xf>
    <xf numFmtId="167" fontId="0" fillId="0" borderId="18" xfId="0" applyNumberFormat="1" applyFont="1" applyBorder="1" applyAlignment="1">
      <alignment/>
    </xf>
    <xf numFmtId="0" fontId="24" fillId="0" borderId="19" xfId="0" applyFont="1" applyBorder="1" applyAlignment="1">
      <alignment horizontal="right"/>
    </xf>
    <xf numFmtId="0" fontId="27" fillId="0" borderId="20" xfId="0" applyFont="1" applyBorder="1" applyAlignment="1">
      <alignment vertical="center"/>
    </xf>
    <xf numFmtId="0" fontId="0" fillId="0" borderId="20" xfId="0" applyFont="1" applyBorder="1" applyAlignment="1">
      <alignment/>
    </xf>
    <xf numFmtId="167" fontId="0" fillId="0" borderId="20" xfId="0" applyNumberFormat="1" applyFont="1" applyBorder="1" applyAlignment="1">
      <alignment/>
    </xf>
    <xf numFmtId="0" fontId="0" fillId="0" borderId="20" xfId="0" applyFont="1" applyBorder="1" applyAlignment="1">
      <alignment vertical="center"/>
    </xf>
    <xf numFmtId="0" fontId="20" fillId="16" borderId="11" xfId="0" applyFont="1" applyFill="1" applyBorder="1" applyAlignment="1">
      <alignment/>
    </xf>
    <xf numFmtId="167" fontId="20" fillId="0" borderId="11" xfId="0" applyNumberFormat="1" applyFont="1" applyBorder="1" applyAlignment="1">
      <alignment/>
    </xf>
    <xf numFmtId="0" fontId="0" fillId="0" borderId="21" xfId="0" applyFont="1" applyBorder="1" applyAlignment="1">
      <alignment/>
    </xf>
    <xf numFmtId="0" fontId="26"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0" fillId="0" borderId="0" xfId="66" applyNumberFormat="1" applyFont="1" applyFill="1" applyBorder="1" applyAlignment="1">
      <alignment horizontal="left" vertical="center"/>
      <protection/>
    </xf>
    <xf numFmtId="0" fontId="29" fillId="0" borderId="0" xfId="0" applyFont="1" applyFill="1" applyBorder="1" applyAlignment="1">
      <alignment horizontal="center"/>
    </xf>
    <xf numFmtId="49" fontId="3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Fill="1" applyAlignment="1">
      <alignment/>
    </xf>
    <xf numFmtId="0" fontId="26" fillId="0" borderId="0" xfId="0" applyNumberFormat="1" applyFont="1" applyFill="1" applyBorder="1" applyAlignment="1">
      <alignment horizontal="center" vertical="center"/>
    </xf>
    <xf numFmtId="176" fontId="20" fillId="0" borderId="11" xfId="0" applyNumberFormat="1" applyFont="1" applyBorder="1" applyAlignment="1">
      <alignment/>
    </xf>
    <xf numFmtId="176" fontId="0" fillId="0" borderId="0" xfId="0" applyNumberFormat="1" applyFont="1" applyBorder="1" applyAlignment="1">
      <alignment/>
    </xf>
    <xf numFmtId="0" fontId="0" fillId="0" borderId="0" xfId="66" applyNumberFormat="1" applyFont="1" applyFill="1" applyBorder="1" applyAlignment="1">
      <alignment horizontal="left" vertical="center" indent="1"/>
      <protection/>
    </xf>
    <xf numFmtId="0" fontId="0" fillId="0" borderId="22" xfId="66" applyFont="1" applyFill="1" applyBorder="1" applyAlignment="1">
      <alignment vertical="center" wrapText="1"/>
      <protection/>
    </xf>
    <xf numFmtId="3" fontId="37" fillId="0" borderId="0" xfId="0" applyNumberFormat="1" applyFont="1" applyFill="1" applyBorder="1" applyAlignment="1">
      <alignment horizontal="center" vertical="center"/>
    </xf>
    <xf numFmtId="3" fontId="37" fillId="0" borderId="11" xfId="0" applyNumberFormat="1" applyFont="1" applyFill="1" applyBorder="1" applyAlignment="1">
      <alignment horizontal="left" vertical="center" wrapText="1"/>
    </xf>
    <xf numFmtId="3" fontId="37" fillId="0" borderId="11" xfId="0" applyNumberFormat="1" applyFont="1" applyFill="1" applyBorder="1" applyAlignment="1">
      <alignment horizontal="left" vertical="center"/>
    </xf>
    <xf numFmtId="167" fontId="37" fillId="0" borderId="11" xfId="0" applyNumberFormat="1" applyFont="1" applyFill="1" applyBorder="1" applyAlignment="1">
      <alignment horizontal="right" vertical="center"/>
    </xf>
    <xf numFmtId="177" fontId="37" fillId="0" borderId="11" xfId="0" applyNumberFormat="1" applyFont="1" applyFill="1" applyBorder="1" applyAlignment="1">
      <alignment vertical="center"/>
    </xf>
    <xf numFmtId="4" fontId="0" fillId="0" borderId="0" xfId="66" applyNumberFormat="1" applyFont="1" applyFill="1" applyBorder="1">
      <alignment/>
      <protection/>
    </xf>
    <xf numFmtId="167" fontId="0" fillId="0" borderId="0" xfId="66" applyNumberFormat="1" applyFont="1" applyFill="1" applyBorder="1">
      <alignment/>
      <protection/>
    </xf>
    <xf numFmtId="0" fontId="25" fillId="16" borderId="11" xfId="54" applyNumberFormat="1" applyFill="1" applyBorder="1" applyAlignment="1" applyProtection="1">
      <alignment horizontal="left" vertical="center"/>
      <protection locked="0"/>
    </xf>
    <xf numFmtId="0" fontId="30" fillId="0" borderId="0" xfId="0" applyFont="1" applyFill="1" applyAlignment="1">
      <alignment/>
    </xf>
    <xf numFmtId="0" fontId="25" fillId="17" borderId="21" xfId="54" applyNumberFormat="1" applyFill="1" applyBorder="1" applyAlignment="1" applyProtection="1">
      <alignment vertical="center"/>
      <protection locked="0"/>
    </xf>
    <xf numFmtId="167" fontId="0" fillId="0" borderId="0" xfId="0" applyNumberFormat="1" applyFont="1" applyFill="1" applyBorder="1" applyAlignment="1">
      <alignment horizontal="left" vertical="top" wrapText="1"/>
    </xf>
    <xf numFmtId="170" fontId="0" fillId="0" borderId="0" xfId="0" applyNumberFormat="1" applyFont="1" applyAlignment="1">
      <alignment/>
    </xf>
    <xf numFmtId="170" fontId="20" fillId="0" borderId="0" xfId="0" applyNumberFormat="1" applyFont="1" applyAlignment="1">
      <alignment/>
    </xf>
    <xf numFmtId="170" fontId="29" fillId="0" borderId="0" xfId="0" applyNumberFormat="1" applyFont="1" applyAlignment="1">
      <alignment/>
    </xf>
    <xf numFmtId="170" fontId="30" fillId="0" borderId="0" xfId="0" applyNumberFormat="1" applyFont="1" applyAlignment="1">
      <alignment/>
    </xf>
    <xf numFmtId="9" fontId="36" fillId="0" borderId="0" xfId="70" applyFont="1" applyAlignment="1">
      <alignment/>
    </xf>
    <xf numFmtId="9" fontId="35" fillId="0" borderId="0" xfId="70" applyFont="1" applyAlignment="1">
      <alignment/>
    </xf>
    <xf numFmtId="0" fontId="0" fillId="0" borderId="0" xfId="0" applyAlignment="1">
      <alignment horizontal="center"/>
    </xf>
    <xf numFmtId="0" fontId="20" fillId="0" borderId="0" xfId="0" applyFont="1" applyAlignment="1">
      <alignment/>
    </xf>
    <xf numFmtId="0" fontId="0" fillId="0" borderId="22" xfId="66" applyFont="1" applyFill="1" applyBorder="1" applyAlignment="1">
      <alignment vertical="center" wrapText="1"/>
      <protection/>
    </xf>
    <xf numFmtId="0" fontId="20" fillId="0" borderId="0" xfId="0" applyFont="1" applyFill="1" applyAlignment="1">
      <alignment/>
    </xf>
    <xf numFmtId="0" fontId="29" fillId="0" borderId="0" xfId="0" applyFont="1" applyFill="1" applyAlignment="1">
      <alignment/>
    </xf>
    <xf numFmtId="170" fontId="0" fillId="0" borderId="0" xfId="0" applyNumberFormat="1" applyFont="1" applyFill="1" applyAlignment="1">
      <alignment/>
    </xf>
    <xf numFmtId="0" fontId="35" fillId="0" borderId="0" xfId="0" applyFont="1" applyAlignment="1">
      <alignment/>
    </xf>
    <xf numFmtId="0" fontId="35" fillId="0" borderId="0" xfId="0" applyFont="1" applyAlignment="1">
      <alignment horizontal="center"/>
    </xf>
    <xf numFmtId="0" fontId="34" fillId="0" borderId="0" xfId="0" applyFont="1" applyAlignment="1">
      <alignment/>
    </xf>
    <xf numFmtId="0" fontId="34" fillId="0" borderId="23" xfId="0" applyFont="1" applyBorder="1" applyAlignment="1">
      <alignment/>
    </xf>
    <xf numFmtId="0" fontId="36" fillId="0" borderId="0" xfId="0" applyFont="1" applyAlignment="1">
      <alignment/>
    </xf>
    <xf numFmtId="4" fontId="35" fillId="0" borderId="0" xfId="0" applyNumberFormat="1" applyFont="1" applyAlignment="1">
      <alignment/>
    </xf>
    <xf numFmtId="4" fontId="36" fillId="0" borderId="0" xfId="0" applyNumberFormat="1" applyFont="1" applyAlignment="1">
      <alignment/>
    </xf>
    <xf numFmtId="0" fontId="35" fillId="0" borderId="0" xfId="0" applyFont="1" applyAlignment="1">
      <alignment wrapText="1"/>
    </xf>
    <xf numFmtId="4" fontId="40" fillId="0" borderId="0" xfId="0" applyNumberFormat="1" applyFont="1" applyAlignment="1">
      <alignment/>
    </xf>
    <xf numFmtId="0" fontId="40" fillId="0" borderId="0" xfId="0" applyFont="1" applyAlignment="1">
      <alignment/>
    </xf>
    <xf numFmtId="0" fontId="0" fillId="0" borderId="0" xfId="0" applyAlignment="1">
      <alignment horizontal="left" vertical="center" wrapText="1"/>
    </xf>
    <xf numFmtId="0" fontId="38" fillId="0" borderId="0" xfId="0" applyFont="1" applyFill="1" applyBorder="1" applyAlignment="1">
      <alignment horizontal="left"/>
    </xf>
    <xf numFmtId="0" fontId="39" fillId="0" borderId="0" xfId="0" applyFont="1" applyFill="1" applyBorder="1" applyAlignment="1">
      <alignment horizontal="left"/>
    </xf>
    <xf numFmtId="182" fontId="39" fillId="0" borderId="0" xfId="0" applyNumberFormat="1" applyFont="1" applyAlignment="1">
      <alignment/>
    </xf>
    <xf numFmtId="183" fontId="20" fillId="0" borderId="0" xfId="0" applyNumberFormat="1" applyFont="1" applyAlignment="1">
      <alignment/>
    </xf>
    <xf numFmtId="0" fontId="26" fillId="0" borderId="24" xfId="0" applyFont="1" applyBorder="1" applyAlignment="1">
      <alignment vertical="center"/>
    </xf>
    <xf numFmtId="0" fontId="0" fillId="0" borderId="24" xfId="0" applyFont="1" applyBorder="1" applyAlignment="1">
      <alignment/>
    </xf>
    <xf numFmtId="176" fontId="27" fillId="0" borderId="24" xfId="0" applyNumberFormat="1" applyFont="1" applyBorder="1" applyAlignment="1">
      <alignment/>
    </xf>
    <xf numFmtId="0" fontId="0" fillId="0" borderId="24" xfId="0" applyFont="1" applyBorder="1" applyAlignment="1">
      <alignment vertical="center"/>
    </xf>
    <xf numFmtId="167" fontId="0" fillId="0" borderId="24" xfId="0" applyNumberFormat="1" applyFont="1" applyBorder="1" applyAlignment="1">
      <alignment/>
    </xf>
    <xf numFmtId="3" fontId="20" fillId="0" borderId="24" xfId="0" applyNumberFormat="1" applyFont="1" applyBorder="1" applyAlignment="1">
      <alignment/>
    </xf>
    <xf numFmtId="0" fontId="20" fillId="0" borderId="24" xfId="0" applyFont="1" applyBorder="1" applyAlignment="1">
      <alignment vertical="center"/>
    </xf>
    <xf numFmtId="3" fontId="0" fillId="0" borderId="24" xfId="0" applyNumberFormat="1" applyFont="1" applyBorder="1" applyAlignment="1">
      <alignment horizontal="right"/>
    </xf>
    <xf numFmtId="176" fontId="0" fillId="0" borderId="24" xfId="0" applyNumberFormat="1" applyFont="1" applyBorder="1" applyAlignment="1">
      <alignment/>
    </xf>
    <xf numFmtId="9" fontId="0" fillId="0" borderId="24" xfId="69" applyFill="1" applyBorder="1" applyAlignment="1" applyProtection="1">
      <alignment/>
      <protection/>
    </xf>
    <xf numFmtId="176" fontId="20" fillId="0" borderId="24" xfId="0" applyNumberFormat="1" applyFont="1" applyBorder="1" applyAlignment="1">
      <alignment/>
    </xf>
    <xf numFmtId="0" fontId="19" fillId="0" borderId="25" xfId="0" applyFont="1" applyFill="1" applyBorder="1" applyAlignment="1">
      <alignment horizontal="right"/>
    </xf>
    <xf numFmtId="0" fontId="0" fillId="0" borderId="0" xfId="0" applyFont="1" applyAlignment="1">
      <alignment/>
    </xf>
    <xf numFmtId="183" fontId="1" fillId="0" borderId="0" xfId="57" applyNumberFormat="1" applyAlignment="1">
      <alignment/>
    </xf>
    <xf numFmtId="183" fontId="0" fillId="0" borderId="0" xfId="0" applyNumberFormat="1" applyFont="1" applyAlignment="1">
      <alignment/>
    </xf>
    <xf numFmtId="183" fontId="0" fillId="0" borderId="0" xfId="0" applyNumberFormat="1" applyFont="1" applyAlignment="1">
      <alignment/>
    </xf>
    <xf numFmtId="167" fontId="41" fillId="0" borderId="0" xfId="0" applyNumberFormat="1" applyFont="1" applyFill="1" applyBorder="1" applyAlignment="1">
      <alignment horizontal="center" vertical="center"/>
    </xf>
    <xf numFmtId="176" fontId="20" fillId="0" borderId="0" xfId="0" applyNumberFormat="1" applyFont="1" applyAlignment="1">
      <alignment/>
    </xf>
    <xf numFmtId="0" fontId="41" fillId="0" borderId="0" xfId="0" applyFont="1" applyAlignment="1">
      <alignment horizontal="center" vertical="center"/>
    </xf>
    <xf numFmtId="0" fontId="42" fillId="0" borderId="0" xfId="0" applyFont="1" applyAlignment="1">
      <alignment horizontal="center" vertical="center"/>
    </xf>
    <xf numFmtId="0" fontId="41" fillId="0" borderId="0" xfId="0" applyFont="1" applyFill="1" applyAlignment="1">
      <alignment horizontal="center" vertical="center"/>
    </xf>
    <xf numFmtId="9" fontId="41" fillId="0" borderId="0" xfId="0" applyNumberFormat="1" applyFont="1" applyAlignment="1">
      <alignment horizontal="center" vertical="center"/>
    </xf>
    <xf numFmtId="0" fontId="43" fillId="0" borderId="0" xfId="0" applyFont="1" applyAlignment="1">
      <alignment horizontal="center" vertical="center"/>
    </xf>
    <xf numFmtId="0" fontId="44" fillId="0" borderId="0" xfId="0" applyFont="1" applyFill="1" applyAlignment="1">
      <alignment horizontal="center" vertical="center"/>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167" fontId="45" fillId="0" borderId="0" xfId="0" applyNumberFormat="1" applyFont="1" applyBorder="1" applyAlignment="1">
      <alignment/>
    </xf>
    <xf numFmtId="0" fontId="0" fillId="0" borderId="0" xfId="66" applyNumberFormat="1" applyFont="1" applyFill="1" applyBorder="1" applyAlignment="1">
      <alignment horizontal="left" vertical="center" indent="1"/>
      <protection/>
    </xf>
    <xf numFmtId="167" fontId="45" fillId="0" borderId="0" xfId="0" applyNumberFormat="1" applyFont="1" applyAlignment="1">
      <alignment/>
    </xf>
    <xf numFmtId="0" fontId="1" fillId="0" borderId="0" xfId="66" applyFont="1" applyAlignment="1">
      <alignment vertical="center"/>
      <protection/>
    </xf>
    <xf numFmtId="3" fontId="1" fillId="0" borderId="0" xfId="0" applyNumberFormat="1" applyFont="1" applyAlignment="1">
      <alignment horizontal="center" vertical="center"/>
    </xf>
    <xf numFmtId="3" fontId="1" fillId="0" borderId="11" xfId="0" applyNumberFormat="1" applyFont="1" applyBorder="1" applyAlignment="1">
      <alignment horizontal="left" vertical="center"/>
    </xf>
    <xf numFmtId="167" fontId="1" fillId="0" borderId="11" xfId="0" applyNumberFormat="1" applyFont="1" applyBorder="1" applyAlignment="1">
      <alignment horizontal="right" vertical="center"/>
    </xf>
    <xf numFmtId="177" fontId="1" fillId="0" borderId="11" xfId="0" applyNumberFormat="1" applyFont="1" applyBorder="1" applyAlignment="1">
      <alignment vertical="center"/>
    </xf>
    <xf numFmtId="3" fontId="1" fillId="0" borderId="11" xfId="0" applyNumberFormat="1" applyFont="1" applyBorder="1" applyAlignment="1">
      <alignment horizontal="left" vertical="center" wrapText="1"/>
    </xf>
    <xf numFmtId="167" fontId="49" fillId="0" borderId="11" xfId="0" applyNumberFormat="1" applyFont="1" applyFill="1" applyBorder="1" applyAlignment="1">
      <alignment horizontal="left" vertical="center"/>
    </xf>
    <xf numFmtId="0" fontId="40" fillId="0" borderId="0" xfId="0" applyFont="1" applyAlignment="1">
      <alignment horizontal="center"/>
    </xf>
    <xf numFmtId="0" fontId="50" fillId="0" borderId="0" xfId="0" applyFont="1" applyAlignment="1">
      <alignment/>
    </xf>
    <xf numFmtId="4" fontId="50" fillId="0" borderId="0" xfId="0" applyNumberFormat="1" applyFont="1" applyAlignment="1">
      <alignment/>
    </xf>
    <xf numFmtId="0" fontId="36" fillId="0" borderId="23" xfId="0" applyFont="1" applyBorder="1" applyAlignment="1">
      <alignment/>
    </xf>
    <xf numFmtId="0" fontId="35" fillId="0" borderId="23" xfId="0" applyFont="1" applyBorder="1" applyAlignment="1">
      <alignment/>
    </xf>
    <xf numFmtId="4" fontId="36" fillId="0" borderId="23" xfId="0" applyNumberFormat="1" applyFont="1" applyBorder="1" applyAlignment="1">
      <alignment/>
    </xf>
    <xf numFmtId="0" fontId="34" fillId="0" borderId="0" xfId="0" applyFont="1" applyAlignment="1" applyProtection="1">
      <alignment/>
      <protection locked="0"/>
    </xf>
    <xf numFmtId="0" fontId="19" fillId="0" borderId="0" xfId="0" applyFont="1" applyAlignment="1">
      <alignment/>
    </xf>
    <xf numFmtId="2" fontId="19" fillId="0" borderId="0" xfId="0" applyNumberFormat="1" applyFont="1" applyAlignment="1">
      <alignment/>
    </xf>
    <xf numFmtId="3" fontId="0" fillId="0" borderId="0" xfId="0" applyNumberFormat="1" applyAlignment="1">
      <alignment horizontal="left" vertical="center"/>
    </xf>
    <xf numFmtId="0" fontId="0" fillId="0" borderId="0" xfId="0" applyAlignment="1">
      <alignment wrapText="1"/>
    </xf>
    <xf numFmtId="0" fontId="25" fillId="0" borderId="0" xfId="54" applyAlignment="1">
      <alignment/>
    </xf>
    <xf numFmtId="167" fontId="49" fillId="0" borderId="11" xfId="0" applyNumberFormat="1" applyFont="1" applyBorder="1" applyAlignment="1">
      <alignment horizontal="left" vertical="center"/>
    </xf>
    <xf numFmtId="49" fontId="25" fillId="0" borderId="0" xfId="54" applyNumberFormat="1" applyAlignment="1">
      <alignment horizontal="justify" vertical="center"/>
    </xf>
    <xf numFmtId="0" fontId="25" fillId="0" borderId="0" xfId="54" applyFill="1" applyAlignment="1">
      <alignment/>
    </xf>
    <xf numFmtId="3" fontId="37" fillId="0" borderId="11" xfId="0" applyNumberFormat="1" applyFont="1" applyBorder="1" applyAlignment="1">
      <alignment horizontal="left" vertical="center" wrapText="1"/>
    </xf>
    <xf numFmtId="3" fontId="37" fillId="0" borderId="11" xfId="0" applyNumberFormat="1" applyFont="1" applyBorder="1" applyAlignment="1">
      <alignment horizontal="left" vertical="center"/>
    </xf>
    <xf numFmtId="167" fontId="37" fillId="0" borderId="11" xfId="0" applyNumberFormat="1" applyFont="1" applyBorder="1" applyAlignment="1">
      <alignment horizontal="right" vertical="center"/>
    </xf>
    <xf numFmtId="177" fontId="37" fillId="0" borderId="11" xfId="0" applyNumberFormat="1" applyFont="1" applyBorder="1" applyAlignment="1">
      <alignment vertical="center"/>
    </xf>
    <xf numFmtId="3" fontId="51" fillId="0" borderId="0"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177" fontId="1" fillId="18" borderId="11" xfId="0" applyNumberFormat="1" applyFont="1" applyFill="1" applyBorder="1" applyAlignment="1" applyProtection="1">
      <alignment vertical="center"/>
      <protection locked="0"/>
    </xf>
    <xf numFmtId="177" fontId="37" fillId="18" borderId="11" xfId="0" applyNumberFormat="1" applyFont="1" applyFill="1" applyBorder="1" applyAlignment="1" applyProtection="1">
      <alignment vertical="center"/>
      <protection locked="0"/>
    </xf>
    <xf numFmtId="166" fontId="1" fillId="18" borderId="0" xfId="0" applyNumberFormat="1" applyFont="1" applyFill="1" applyBorder="1" applyAlignment="1" applyProtection="1">
      <alignment vertical="center"/>
      <protection locked="0"/>
    </xf>
    <xf numFmtId="177" fontId="53" fillId="18" borderId="11" xfId="0" applyNumberFormat="1" applyFont="1" applyFill="1" applyBorder="1" applyAlignment="1" applyProtection="1">
      <alignment vertical="center"/>
      <protection locked="0"/>
    </xf>
    <xf numFmtId="166" fontId="1" fillId="18" borderId="11" xfId="0" applyNumberFormat="1" applyFont="1" applyFill="1" applyBorder="1" applyAlignment="1" applyProtection="1">
      <alignment vertical="center"/>
      <protection locked="0"/>
    </xf>
    <xf numFmtId="10" fontId="0" fillId="18" borderId="24" xfId="69" applyNumberFormat="1" applyFill="1" applyBorder="1" applyAlignment="1" applyProtection="1">
      <alignment vertical="center"/>
      <protection locked="0"/>
    </xf>
    <xf numFmtId="177" fontId="1" fillId="0" borderId="11" xfId="0" applyNumberFormat="1" applyFont="1" applyFill="1" applyBorder="1" applyAlignment="1" applyProtection="1">
      <alignment vertical="center"/>
      <protection/>
    </xf>
    <xf numFmtId="177" fontId="1" fillId="0" borderId="11" xfId="0" applyNumberFormat="1" applyFont="1" applyFill="1" applyBorder="1" applyAlignment="1" applyProtection="1">
      <alignment vertical="center"/>
      <protection locked="0"/>
    </xf>
    <xf numFmtId="4" fontId="35" fillId="19" borderId="0" xfId="0" applyNumberFormat="1" applyFont="1" applyFill="1" applyAlignment="1" applyProtection="1">
      <alignment/>
      <protection locked="0"/>
    </xf>
    <xf numFmtId="2" fontId="35" fillId="19" borderId="0" xfId="0" applyNumberFormat="1" applyFont="1" applyFill="1" applyAlignment="1" applyProtection="1">
      <alignment/>
      <protection locked="0"/>
    </xf>
    <xf numFmtId="3" fontId="1" fillId="0" borderId="0" xfId="0" applyNumberFormat="1" applyFont="1" applyFill="1" applyAlignment="1">
      <alignment horizontal="center" vertical="center"/>
    </xf>
    <xf numFmtId="0" fontId="25" fillId="17" borderId="21" xfId="54" applyNumberFormat="1" applyFill="1" applyBorder="1" applyAlignment="1" applyProtection="1">
      <alignment vertical="center"/>
      <protection locked="0"/>
    </xf>
    <xf numFmtId="3" fontId="33" fillId="20" borderId="21" xfId="0" applyNumberFormat="1" applyFont="1" applyFill="1" applyBorder="1" applyAlignment="1">
      <alignment horizontal="left" vertical="center" wrapText="1"/>
    </xf>
    <xf numFmtId="3" fontId="1" fillId="20" borderId="21" xfId="0" applyNumberFormat="1" applyFont="1" applyFill="1" applyBorder="1" applyAlignment="1">
      <alignment horizontal="left" vertical="center" wrapText="1"/>
    </xf>
    <xf numFmtId="0" fontId="25" fillId="17" borderId="26" xfId="54" applyNumberFormat="1" applyFill="1" applyBorder="1" applyAlignment="1" applyProtection="1">
      <alignment vertical="center"/>
      <protection locked="0"/>
    </xf>
    <xf numFmtId="3" fontId="33" fillId="20" borderId="27" xfId="0" applyNumberFormat="1" applyFont="1" applyFill="1" applyBorder="1" applyAlignment="1">
      <alignment horizontal="left" vertical="center" wrapText="1"/>
    </xf>
    <xf numFmtId="167" fontId="0" fillId="0" borderId="0" xfId="0" applyNumberFormat="1" applyFill="1" applyBorder="1" applyAlignment="1">
      <alignment horizontal="left" vertical="top" wrapText="1"/>
    </xf>
    <xf numFmtId="167" fontId="0" fillId="0" borderId="0" xfId="0" applyNumberFormat="1" applyFont="1" applyFill="1" applyBorder="1" applyAlignment="1">
      <alignment horizontal="left" vertical="top" wrapText="1"/>
    </xf>
    <xf numFmtId="3" fontId="0" fillId="0" borderId="0" xfId="0" applyNumberForma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1" fillId="0" borderId="0" xfId="0" applyFont="1" applyAlignment="1">
      <alignment horizontal="justify"/>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167" fontId="0" fillId="0" borderId="0" xfId="0" applyNumberFormat="1" applyFont="1" applyFill="1" applyBorder="1" applyAlignment="1">
      <alignment horizontal="left" vertical="top"/>
    </xf>
    <xf numFmtId="176" fontId="27" fillId="0" borderId="24" xfId="0" applyNumberFormat="1" applyFont="1" applyBorder="1" applyAlignment="1">
      <alignment horizontal="right"/>
    </xf>
    <xf numFmtId="176" fontId="27" fillId="0" borderId="13" xfId="0" applyNumberFormat="1" applyFont="1" applyBorder="1" applyAlignment="1">
      <alignment horizontal="right"/>
    </xf>
    <xf numFmtId="167" fontId="0" fillId="0" borderId="0" xfId="0" applyNumberFormat="1" applyAlignment="1">
      <alignment vertical="top" wrapText="1"/>
    </xf>
    <xf numFmtId="0" fontId="0" fillId="0" borderId="0" xfId="0" applyAlignment="1">
      <alignment/>
    </xf>
    <xf numFmtId="0" fontId="0" fillId="0" borderId="0" xfId="0" applyAlignment="1">
      <alignment horizontal="left" vertical="center" wrapText="1"/>
    </xf>
    <xf numFmtId="3" fontId="0" fillId="2" borderId="0" xfId="0" applyNumberFormat="1" applyFill="1" applyAlignment="1">
      <alignment horizontal="left" vertical="center"/>
    </xf>
    <xf numFmtId="167" fontId="0" fillId="0" borderId="0" xfId="0" applyNumberFormat="1" applyAlignment="1">
      <alignment horizontal="left" vertical="top"/>
    </xf>
    <xf numFmtId="167" fontId="0" fillId="0" borderId="0" xfId="0" applyNumberFormat="1" applyAlignment="1">
      <alignment horizontal="left" vertical="top" wrapText="1"/>
    </xf>
    <xf numFmtId="0" fontId="34" fillId="0" borderId="0" xfId="0" applyFont="1" applyAlignment="1" applyProtection="1">
      <alignment/>
      <protection locked="0"/>
    </xf>
    <xf numFmtId="3" fontId="0" fillId="0" borderId="0" xfId="0" applyNumberFormat="1" applyAlignment="1">
      <alignment horizontal="left" vertical="center"/>
    </xf>
    <xf numFmtId="0" fontId="0" fillId="21" borderId="0" xfId="0" applyFont="1" applyFill="1" applyAlignment="1">
      <alignment vertical="center"/>
    </xf>
    <xf numFmtId="0" fontId="22" fillId="21" borderId="28" xfId="0" applyFont="1" applyFill="1" applyBorder="1" applyAlignment="1">
      <alignment horizontal="center" vertical="center" wrapText="1"/>
    </xf>
    <xf numFmtId="0" fontId="22" fillId="21" borderId="29" xfId="0" applyFont="1" applyFill="1" applyBorder="1" applyAlignment="1">
      <alignment horizontal="center" vertical="center" wrapText="1"/>
    </xf>
    <xf numFmtId="0" fontId="22" fillId="21" borderId="30" xfId="0" applyFont="1" applyFill="1" applyBorder="1" applyAlignment="1">
      <alignment horizontal="center" vertical="center" wrapText="1"/>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ntila-vzduchotechnika.cz/ventilator/ventilatory/koupelnove-ventilatory/koupelnove-ventilatory-vysokotlake--radialni/radialni-ventilatory-do-koupelny-vortice/radialni-ventilatory-do-koupelny-vortice-quadro--zapusteny/produkt/radialni-ventilator-do-koupelny-vortice-quadro-medio-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328"/>
  <sheetViews>
    <sheetView showGridLines="0" tabSelected="1" zoomScaleSheetLayoutView="55" workbookViewId="0" topLeftCell="A1">
      <selection activeCell="F80" sqref="F80"/>
    </sheetView>
  </sheetViews>
  <sheetFormatPr defaultColWidth="9.00390625" defaultRowHeight="12.75"/>
  <cols>
    <col min="1" max="1" width="4.375" style="26" customWidth="1"/>
    <col min="2" max="2" width="12.875" style="64" customWidth="1"/>
    <col min="3" max="3" width="54.625" style="2" customWidth="1"/>
    <col min="4" max="4" width="6.875" style="1" customWidth="1"/>
    <col min="5" max="5" width="9.625" style="16" customWidth="1"/>
    <col min="6" max="6" width="12.625" style="16" customWidth="1"/>
    <col min="7" max="7" width="15.375" style="1" customWidth="1"/>
    <col min="8" max="8" width="17.00390625" style="131" customWidth="1"/>
    <col min="9" max="9" width="9.125" style="137" hidden="1" customWidth="1"/>
    <col min="10" max="10" width="12.875" style="1" hidden="1" customWidth="1"/>
    <col min="11" max="11" width="13.375" style="1" hidden="1" customWidth="1"/>
    <col min="12" max="12" width="14.375" style="1" hidden="1" customWidth="1"/>
    <col min="13" max="13" width="19.375" style="1" customWidth="1"/>
    <col min="14" max="14" width="10.125" style="7" hidden="1" customWidth="1"/>
    <col min="15" max="15" width="8.125" style="1" hidden="1" customWidth="1"/>
    <col min="16" max="16" width="0" style="1" hidden="1" customWidth="1"/>
    <col min="17" max="17" width="0" style="86" hidden="1" customWidth="1"/>
    <col min="18" max="18" width="0" style="1" hidden="1" customWidth="1"/>
    <col min="19" max="19" width="10.00390625" style="1" hidden="1" customWidth="1"/>
    <col min="20" max="16384" width="9.125" style="1" customWidth="1"/>
  </cols>
  <sheetData>
    <row r="2" spans="3:12" ht="12.75">
      <c r="C2" s="207"/>
      <c r="E2" s="17" t="s">
        <v>1</v>
      </c>
      <c r="F2" s="17" t="s">
        <v>2</v>
      </c>
      <c r="G2" s="3" t="s">
        <v>3</v>
      </c>
      <c r="J2" s="124" t="s">
        <v>211</v>
      </c>
      <c r="K2" s="124" t="s">
        <v>212</v>
      </c>
      <c r="L2" s="124" t="s">
        <v>213</v>
      </c>
    </row>
    <row r="3" spans="3:12" ht="12.75">
      <c r="C3" s="207"/>
      <c r="J3" s="125"/>
      <c r="K3" s="125"/>
      <c r="L3" s="93"/>
    </row>
    <row r="4" spans="10:12" ht="12.75">
      <c r="J4" s="125"/>
      <c r="K4" s="125"/>
      <c r="L4" s="93"/>
    </row>
    <row r="5" spans="3:12" ht="44.25" customHeight="1">
      <c r="C5" s="208" t="s">
        <v>319</v>
      </c>
      <c r="D5" s="209"/>
      <c r="E5" s="209"/>
      <c r="F5" s="209"/>
      <c r="G5" s="210"/>
      <c r="J5" s="125"/>
      <c r="K5" s="125"/>
      <c r="L5" s="93"/>
    </row>
    <row r="6" spans="3:12" ht="37.5" customHeight="1">
      <c r="C6" s="193" t="s">
        <v>260</v>
      </c>
      <c r="D6" s="194"/>
      <c r="E6" s="194"/>
      <c r="F6" s="194"/>
      <c r="G6" s="195"/>
      <c r="J6" s="125"/>
      <c r="K6" s="125"/>
      <c r="L6" s="93"/>
    </row>
    <row r="7" spans="3:12" ht="12.75">
      <c r="C7" s="50"/>
      <c r="D7" s="4"/>
      <c r="E7" s="18"/>
      <c r="F7" s="18"/>
      <c r="G7" s="51"/>
      <c r="J7" s="125"/>
      <c r="K7" s="125"/>
      <c r="L7" s="93"/>
    </row>
    <row r="8" spans="3:12" ht="23.25">
      <c r="C8" s="52" t="s">
        <v>4</v>
      </c>
      <c r="D8" s="53"/>
      <c r="E8" s="54"/>
      <c r="F8" s="54"/>
      <c r="G8" s="55"/>
      <c r="J8" s="125"/>
      <c r="K8" s="125"/>
      <c r="L8" s="93"/>
    </row>
    <row r="9" spans="10:12" ht="12.75">
      <c r="J9" s="125"/>
      <c r="K9" s="125"/>
      <c r="L9" s="93"/>
    </row>
    <row r="10" spans="10:12" ht="12.75">
      <c r="J10" s="5"/>
      <c r="K10" s="5"/>
      <c r="L10" s="93"/>
    </row>
    <row r="11" spans="1:17" s="5" customFormat="1" ht="16.5">
      <c r="A11" s="39"/>
      <c r="B11" s="65">
        <v>1</v>
      </c>
      <c r="C11" s="82" t="str">
        <f>Kapitola_1</f>
        <v>Přípravné a bourací práce</v>
      </c>
      <c r="D11" s="60"/>
      <c r="E11" s="61"/>
      <c r="F11" s="71"/>
      <c r="G11" s="71">
        <f>+Cena_1</f>
        <v>0</v>
      </c>
      <c r="H11" s="132"/>
      <c r="I11" s="138"/>
      <c r="J11" s="126">
        <f>SUMIF(H$77:H$100,"O",G$77:G$100)</f>
        <v>0</v>
      </c>
      <c r="K11" s="126">
        <f>SUMIF(H$77:H$100,"i",G$77:G$100)</f>
        <v>0</v>
      </c>
      <c r="L11" s="127">
        <f>SUM(J11:K11)</f>
        <v>0</v>
      </c>
      <c r="N11" s="95"/>
      <c r="Q11" s="87"/>
    </row>
    <row r="12" spans="1:17" s="5" customFormat="1" ht="16.5">
      <c r="A12" s="39"/>
      <c r="B12" s="65">
        <v>2</v>
      </c>
      <c r="C12" s="82" t="str">
        <f>Kapitola_2</f>
        <v>Stavební úpravy bytové jednotky</v>
      </c>
      <c r="D12" s="60"/>
      <c r="E12" s="61"/>
      <c r="F12" s="71"/>
      <c r="G12" s="71">
        <f>SUM(F13:F25)</f>
        <v>0</v>
      </c>
      <c r="H12" s="132"/>
      <c r="I12" s="138"/>
      <c r="N12" s="95"/>
      <c r="Q12" s="87"/>
    </row>
    <row r="13" spans="1:17" s="5" customFormat="1" ht="16.5">
      <c r="A13" s="39"/>
      <c r="B13" s="73" t="s">
        <v>37</v>
      </c>
      <c r="C13" s="82" t="str">
        <f>Kapitola_2a</f>
        <v>Stěny a příčky</v>
      </c>
      <c r="D13" s="60"/>
      <c r="E13" s="61"/>
      <c r="F13" s="71">
        <f>+Cena_2a</f>
        <v>0</v>
      </c>
      <c r="G13" s="71"/>
      <c r="H13" s="132"/>
      <c r="I13" s="138"/>
      <c r="J13" s="126">
        <f>SUMIF(H$105:H$118,"O",G$105:G$118)</f>
        <v>0</v>
      </c>
      <c r="K13" s="126">
        <f>SUMIF(H$105:H$118,"i",G$105:G$118)</f>
        <v>0</v>
      </c>
      <c r="L13" s="127">
        <f aca="true" t="shared" si="0" ref="L13:L26">SUM(J13:K13)</f>
        <v>0</v>
      </c>
      <c r="N13" s="95"/>
      <c r="Q13" s="87"/>
    </row>
    <row r="14" spans="1:17" s="5" customFormat="1" ht="16.5">
      <c r="A14" s="39"/>
      <c r="B14" s="73" t="s">
        <v>38</v>
      </c>
      <c r="C14" s="82" t="str">
        <f>Kapitola_2b</f>
        <v>Stropy a stropní konstrukce</v>
      </c>
      <c r="D14" s="60"/>
      <c r="E14" s="61"/>
      <c r="F14" s="71">
        <f>+Cena_2b</f>
        <v>0</v>
      </c>
      <c r="G14" s="71"/>
      <c r="H14" s="132"/>
      <c r="I14" s="138"/>
      <c r="J14" s="126">
        <f>SUMIF(H$123:H$131,"O",G$123:G$131)</f>
        <v>0</v>
      </c>
      <c r="K14" s="126">
        <f>SUMIF(H$123:H$131,"i",G$123:G$131)</f>
        <v>0</v>
      </c>
      <c r="L14" s="127">
        <f t="shared" si="0"/>
        <v>0</v>
      </c>
      <c r="N14" s="95"/>
      <c r="Q14" s="87"/>
    </row>
    <row r="15" spans="1:17" s="5" customFormat="1" ht="16.5">
      <c r="A15" s="39"/>
      <c r="B15" s="73" t="s">
        <v>39</v>
      </c>
      <c r="C15" s="82" t="str">
        <f>Kapitola_2c</f>
        <v>Úpravy povrchů vnitřní (stěny, stropy)</v>
      </c>
      <c r="D15" s="60"/>
      <c r="E15" s="61"/>
      <c r="F15" s="71">
        <f>+Cena_2c</f>
        <v>0</v>
      </c>
      <c r="G15" s="71"/>
      <c r="H15" s="132"/>
      <c r="I15" s="138"/>
      <c r="J15" s="126">
        <f>SUMIF(H$136:H$163,"O",G$136:G$163)</f>
        <v>0</v>
      </c>
      <c r="K15" s="126">
        <f>SUMIF(H$136:H$163,"i",G$136:G$163)</f>
        <v>0</v>
      </c>
      <c r="L15" s="127">
        <f t="shared" si="0"/>
        <v>0</v>
      </c>
      <c r="N15" s="95"/>
      <c r="Q15" s="87"/>
    </row>
    <row r="16" spans="1:17" s="5" customFormat="1" ht="16.5">
      <c r="A16" s="39"/>
      <c r="B16" s="73" t="s">
        <v>40</v>
      </c>
      <c r="C16" s="82" t="str">
        <f>Kapitola_2d</f>
        <v>Zdravotechnika - vnitřní kanalizace</v>
      </c>
      <c r="D16" s="60"/>
      <c r="E16" s="61"/>
      <c r="F16" s="71">
        <f>+Cena_2d</f>
        <v>0</v>
      </c>
      <c r="G16" s="71"/>
      <c r="H16" s="132"/>
      <c r="I16" s="138"/>
      <c r="J16" s="126">
        <f>SUMIF(H$168:H$185,"O",G$168:G$185)</f>
        <v>0</v>
      </c>
      <c r="K16" s="126">
        <f>SUMIF(H$168:H$185,"i",G$168:G$185)</f>
        <v>0</v>
      </c>
      <c r="L16" s="127">
        <f t="shared" si="0"/>
        <v>0</v>
      </c>
      <c r="N16" s="95"/>
      <c r="Q16" s="87"/>
    </row>
    <row r="17" spans="1:17" s="5" customFormat="1" ht="16.5">
      <c r="A17" s="39"/>
      <c r="B17" s="73" t="s">
        <v>41</v>
      </c>
      <c r="C17" s="82" t="str">
        <f>Kapitola_2e</f>
        <v>Zdravotechnika - vnitřní vodovod</v>
      </c>
      <c r="D17" s="60"/>
      <c r="E17" s="61"/>
      <c r="F17" s="71">
        <f>+Cena_2e</f>
        <v>0</v>
      </c>
      <c r="G17" s="71"/>
      <c r="H17" s="132"/>
      <c r="I17" s="138"/>
      <c r="J17" s="126">
        <f>SUMIF(H$190:H$200,"O",G$190:G$200)</f>
        <v>0</v>
      </c>
      <c r="K17" s="126">
        <f>SUMIF(H$190:H$200,"i",G$190:G$200)</f>
        <v>0</v>
      </c>
      <c r="L17" s="127">
        <f t="shared" si="0"/>
        <v>0</v>
      </c>
      <c r="N17" s="95"/>
      <c r="Q17" s="87"/>
    </row>
    <row r="18" spans="1:17" s="5" customFormat="1" ht="16.5">
      <c r="A18" s="39"/>
      <c r="B18" s="142" t="s">
        <v>42</v>
      </c>
      <c r="C18" s="82" t="str">
        <f>Kapitola_2f</f>
        <v>Zdravotechnika - zařizovací předměty, armatury </v>
      </c>
      <c r="D18" s="60"/>
      <c r="E18" s="61"/>
      <c r="F18" s="71">
        <f>+Cena_2f</f>
        <v>0</v>
      </c>
      <c r="G18" s="71"/>
      <c r="H18" s="132"/>
      <c r="I18" s="138"/>
      <c r="J18" s="126">
        <f>SUMIF(H$205:H$227,"O",G$205:G$227)</f>
        <v>0</v>
      </c>
      <c r="K18" s="126">
        <f>SUMIF(H$205:H$227,"i",G$205:G$227)</f>
        <v>0</v>
      </c>
      <c r="L18" s="127">
        <f>SUM(J18:K18)</f>
        <v>0</v>
      </c>
      <c r="N18" s="95"/>
      <c r="Q18" s="87"/>
    </row>
    <row r="19" spans="1:17" s="5" customFormat="1" ht="16.5">
      <c r="A19" s="39"/>
      <c r="B19" s="73" t="s">
        <v>43</v>
      </c>
      <c r="C19" s="82" t="str">
        <f>Kapitola_2g</f>
        <v>Elektroinstalace - silnoproud </v>
      </c>
      <c r="D19" s="60"/>
      <c r="E19" s="61"/>
      <c r="F19" s="71">
        <f>+Cena_2g</f>
        <v>0</v>
      </c>
      <c r="G19" s="71"/>
      <c r="H19" s="132"/>
      <c r="I19" s="138"/>
      <c r="J19" s="126">
        <f>SUMIF(H$232:H$233,"O",G$232:G$233)</f>
        <v>0</v>
      </c>
      <c r="K19" s="126">
        <f>SUMIF(H$232:H$233,"i",G$232:G$233)</f>
        <v>0</v>
      </c>
      <c r="L19" s="127">
        <f t="shared" si="0"/>
        <v>0</v>
      </c>
      <c r="N19" s="95"/>
      <c r="Q19" s="87"/>
    </row>
    <row r="20" spans="1:17" s="5" customFormat="1" ht="16.5">
      <c r="A20" s="39"/>
      <c r="B20" s="73" t="s">
        <v>54</v>
      </c>
      <c r="C20" s="82" t="str">
        <f>Kapitola_2h</f>
        <v>Elektroinstalace - slaboproud</v>
      </c>
      <c r="D20" s="60"/>
      <c r="E20" s="61"/>
      <c r="F20" s="71">
        <f>+Cena_2h</f>
        <v>0</v>
      </c>
      <c r="G20" s="71"/>
      <c r="H20" s="132"/>
      <c r="I20" s="138"/>
      <c r="J20" s="126">
        <f>SUMIF(H$238:H$239,"O",G$238:G$239)</f>
        <v>0</v>
      </c>
      <c r="K20" s="126">
        <f>SUMIF(H$238:H$239,"i",G$238:G$239)</f>
        <v>0</v>
      </c>
      <c r="L20" s="127">
        <f t="shared" si="0"/>
        <v>0</v>
      </c>
      <c r="N20" s="95"/>
      <c r="Q20" s="87"/>
    </row>
    <row r="21" spans="1:17" s="5" customFormat="1" ht="16.5">
      <c r="A21" s="39"/>
      <c r="B21" s="73" t="s">
        <v>101</v>
      </c>
      <c r="C21" s="82" t="str">
        <f>Kapitola_2i</f>
        <v>Vzduchotechnika</v>
      </c>
      <c r="D21" s="60"/>
      <c r="E21" s="61"/>
      <c r="F21" s="71">
        <f>+Cena_2i</f>
        <v>0</v>
      </c>
      <c r="G21" s="71"/>
      <c r="H21" s="132"/>
      <c r="I21" s="138"/>
      <c r="J21" s="126">
        <f>SUMIF(H$244:H$259,"O",G$244:G$259)</f>
        <v>0</v>
      </c>
      <c r="K21" s="126">
        <f>SUMIF(H$244:H$259,"i",G$244:G$259)</f>
        <v>0</v>
      </c>
      <c r="L21" s="127">
        <f t="shared" si="0"/>
        <v>0</v>
      </c>
      <c r="N21" s="95"/>
      <c r="Q21" s="87"/>
    </row>
    <row r="22" spans="1:17" s="5" customFormat="1" ht="16.5">
      <c r="A22" s="39"/>
      <c r="B22" s="142" t="s">
        <v>102</v>
      </c>
      <c r="C22" s="82" t="str">
        <f>Kapitola_2j</f>
        <v>Konstrukce truhlářské</v>
      </c>
      <c r="D22" s="60"/>
      <c r="E22" s="61"/>
      <c r="F22" s="71">
        <f>+Cena_2j</f>
        <v>0</v>
      </c>
      <c r="G22" s="71"/>
      <c r="H22" s="132"/>
      <c r="I22" s="138"/>
      <c r="J22" s="126">
        <f>SUMIF(H$264:H$274,"O",G$264:G$274)</f>
        <v>0</v>
      </c>
      <c r="K22" s="126">
        <f>SUMIF(H$264:H$274,"i",G$264:G$274)</f>
        <v>0</v>
      </c>
      <c r="L22" s="127">
        <f t="shared" si="0"/>
        <v>0</v>
      </c>
      <c r="N22" s="95"/>
      <c r="Q22" s="87"/>
    </row>
    <row r="23" spans="1:17" s="5" customFormat="1" ht="16.5">
      <c r="A23" s="39"/>
      <c r="B23" s="142" t="s">
        <v>103</v>
      </c>
      <c r="C23" s="82" t="str">
        <f>Kapitola_2k</f>
        <v>Konstrukce zámečnické</v>
      </c>
      <c r="D23" s="60"/>
      <c r="E23" s="61"/>
      <c r="F23" s="71">
        <f>+Cena_2k</f>
        <v>0</v>
      </c>
      <c r="G23" s="71"/>
      <c r="H23" s="132"/>
      <c r="I23" s="138"/>
      <c r="J23" s="126">
        <f>SUMIF(H$279:H$285,"O",G$279:G$285)</f>
        <v>0</v>
      </c>
      <c r="K23" s="126">
        <f>SUMIF(H$279:H$285,"i",G$279:G$285)</f>
        <v>0</v>
      </c>
      <c r="L23" s="127">
        <f t="shared" si="0"/>
        <v>0</v>
      </c>
      <c r="N23" s="95"/>
      <c r="Q23" s="87"/>
    </row>
    <row r="24" spans="1:17" s="5" customFormat="1" ht="16.5">
      <c r="A24" s="39"/>
      <c r="B24" s="142" t="s">
        <v>104</v>
      </c>
      <c r="C24" s="82" t="str">
        <f>Kapitola_2l</f>
        <v>Podlahy z dlaždic</v>
      </c>
      <c r="D24" s="60"/>
      <c r="E24" s="61"/>
      <c r="F24" s="71">
        <f>+Cena_2l</f>
        <v>0</v>
      </c>
      <c r="G24" s="71"/>
      <c r="H24" s="132"/>
      <c r="I24" s="138"/>
      <c r="J24" s="126">
        <f>SUMIF(H$290:H$305,"O",G$290:G$305)</f>
        <v>0</v>
      </c>
      <c r="K24" s="126">
        <f>SUMIF(H$290:H$305,"i",G$290:G$305)</f>
        <v>0</v>
      </c>
      <c r="L24" s="127">
        <f t="shared" si="0"/>
        <v>0</v>
      </c>
      <c r="N24" s="95"/>
      <c r="Q24" s="87"/>
    </row>
    <row r="25" spans="1:17" s="5" customFormat="1" ht="16.5">
      <c r="A25" s="39"/>
      <c r="B25" s="142" t="s">
        <v>105</v>
      </c>
      <c r="C25" s="82" t="str">
        <f>Kapitola_2m</f>
        <v>Podlahy povlakové</v>
      </c>
      <c r="D25" s="60"/>
      <c r="E25" s="61"/>
      <c r="F25" s="71">
        <f>Cena_2m</f>
        <v>0</v>
      </c>
      <c r="G25" s="71"/>
      <c r="H25" s="132"/>
      <c r="I25" s="138"/>
      <c r="J25" s="126">
        <f>SUMIF(H$310:H$320,"O",G$310:G$320)</f>
        <v>0</v>
      </c>
      <c r="K25" s="126">
        <f>SUMIF(H$310:H$320,"i",G$310:G$320)</f>
        <v>0</v>
      </c>
      <c r="L25" s="127">
        <f t="shared" si="0"/>
        <v>0</v>
      </c>
      <c r="N25" s="95"/>
      <c r="Q25" s="87"/>
    </row>
    <row r="26" spans="1:17" s="5" customFormat="1" ht="16.5">
      <c r="A26" s="39"/>
      <c r="B26" s="65">
        <v>3</v>
      </c>
      <c r="C26" s="82" t="str">
        <f>Dokoncovaci_prace</f>
        <v>Dokončovací práce</v>
      </c>
      <c r="D26" s="60"/>
      <c r="E26" s="61"/>
      <c r="F26" s="71"/>
      <c r="G26" s="71">
        <f>Cena_dokoncovaci_prace</f>
        <v>0</v>
      </c>
      <c r="H26" s="132"/>
      <c r="I26" s="138"/>
      <c r="J26" s="126">
        <f>SUMIF(H$324:H$326,"O",G$324:G$326)</f>
        <v>0</v>
      </c>
      <c r="K26" s="126">
        <f>SUMIF(H$324:H$326,"i",G$324:G$326)</f>
        <v>0</v>
      </c>
      <c r="L26" s="127">
        <f t="shared" si="0"/>
        <v>0</v>
      </c>
      <c r="N26" s="95"/>
      <c r="Q26" s="87"/>
    </row>
    <row r="27" spans="3:12" ht="12.75">
      <c r="C27" s="25"/>
      <c r="D27" s="26"/>
      <c r="E27" s="20"/>
      <c r="F27" s="72"/>
      <c r="G27" s="72"/>
      <c r="J27" s="125"/>
      <c r="K27" s="125"/>
      <c r="L27" s="125"/>
    </row>
    <row r="28" spans="3:12" ht="15" customHeight="1">
      <c r="C28" s="113" t="s">
        <v>5</v>
      </c>
      <c r="D28" s="114"/>
      <c r="E28" s="115"/>
      <c r="F28" s="197">
        <f>SUM(G11:G26)</f>
        <v>0</v>
      </c>
      <c r="G28" s="197"/>
      <c r="J28" s="128">
        <f>SUM(J11:J27)</f>
        <v>0</v>
      </c>
      <c r="K28" s="128">
        <f>SUM(K11:K27)</f>
        <v>0</v>
      </c>
      <c r="L28" s="128">
        <f>SUM(J28:K28)</f>
        <v>0</v>
      </c>
    </row>
    <row r="29" spans="3:12" ht="12.75">
      <c r="C29" s="116"/>
      <c r="D29" s="114"/>
      <c r="E29" s="117"/>
      <c r="F29" s="117"/>
      <c r="G29" s="118"/>
      <c r="J29" s="125"/>
      <c r="K29" s="125"/>
      <c r="L29" s="125"/>
    </row>
    <row r="30" spans="3:12" ht="12.75">
      <c r="C30" s="119" t="s">
        <v>6</v>
      </c>
      <c r="D30" s="114"/>
      <c r="E30" s="117"/>
      <c r="F30" s="120"/>
      <c r="G30" s="123">
        <f>+G31+G32</f>
        <v>0</v>
      </c>
      <c r="J30" s="125"/>
      <c r="K30" s="125"/>
      <c r="L30" s="125"/>
    </row>
    <row r="31" spans="3:12" ht="12.75">
      <c r="C31" s="116" t="s">
        <v>7</v>
      </c>
      <c r="D31" s="114"/>
      <c r="E31" s="117"/>
      <c r="F31" s="177"/>
      <c r="G31" s="121">
        <f>ROUND($F$28*F31,0)</f>
        <v>0</v>
      </c>
      <c r="J31" s="125"/>
      <c r="K31" s="125"/>
      <c r="L31" s="125"/>
    </row>
    <row r="32" spans="3:12" ht="12.75">
      <c r="C32" s="116" t="s">
        <v>189</v>
      </c>
      <c r="D32" s="114"/>
      <c r="E32" s="117"/>
      <c r="F32" s="177"/>
      <c r="G32" s="121">
        <f>ROUND($F$28*F32,0)</f>
        <v>0</v>
      </c>
      <c r="J32" s="125"/>
      <c r="K32" s="125"/>
      <c r="L32" s="125"/>
    </row>
    <row r="33" spans="3:12" ht="15">
      <c r="C33" s="113" t="s">
        <v>215</v>
      </c>
      <c r="D33" s="114"/>
      <c r="E33" s="117"/>
      <c r="F33" s="117"/>
      <c r="G33" s="71">
        <f>+F28+G30</f>
        <v>0</v>
      </c>
      <c r="J33" s="125"/>
      <c r="K33" s="125"/>
      <c r="L33" s="125"/>
    </row>
    <row r="34" spans="3:12" ht="12.75">
      <c r="C34" s="116"/>
      <c r="D34" s="114"/>
      <c r="E34" s="117"/>
      <c r="F34" s="117"/>
      <c r="G34" s="114"/>
      <c r="H34" s="133"/>
      <c r="J34" s="125"/>
      <c r="K34" s="125"/>
      <c r="L34" s="125"/>
    </row>
    <row r="35" spans="3:12" ht="12.75">
      <c r="C35" s="116" t="s">
        <v>8</v>
      </c>
      <c r="D35" s="114"/>
      <c r="E35" s="117"/>
      <c r="F35" s="122">
        <v>0.15</v>
      </c>
      <c r="G35" s="121">
        <f>ROUND((F28+G31+G32)*F35,0)</f>
        <v>0</v>
      </c>
      <c r="H35" s="133"/>
      <c r="J35" s="125"/>
      <c r="K35" s="125"/>
      <c r="L35" s="125"/>
    </row>
    <row r="36" spans="3:12" ht="12.75">
      <c r="C36" s="116" t="s">
        <v>8</v>
      </c>
      <c r="D36" s="114"/>
      <c r="E36" s="117"/>
      <c r="F36" s="122">
        <v>0.21</v>
      </c>
      <c r="G36" s="121">
        <v>0</v>
      </c>
      <c r="J36" s="125"/>
      <c r="K36" s="125"/>
      <c r="L36" s="125"/>
    </row>
    <row r="37" spans="3:12" ht="13.5" thickBot="1">
      <c r="C37" s="59"/>
      <c r="D37" s="57"/>
      <c r="E37" s="58"/>
      <c r="F37" s="58"/>
      <c r="G37" s="57"/>
      <c r="J37" s="125"/>
      <c r="K37" s="125"/>
      <c r="L37" s="125"/>
    </row>
    <row r="38" spans="3:7" ht="16.5" thickBot="1">
      <c r="C38" s="56" t="s">
        <v>9</v>
      </c>
      <c r="D38" s="57"/>
      <c r="E38" s="58"/>
      <c r="F38" s="198">
        <f>F28+G31+G32+G35+G36</f>
        <v>0</v>
      </c>
      <c r="G38" s="198"/>
    </row>
    <row r="41" spans="3:7" ht="15">
      <c r="C41" s="109" t="s">
        <v>206</v>
      </c>
      <c r="D41"/>
      <c r="E41"/>
      <c r="F41"/>
      <c r="G41"/>
    </row>
    <row r="42" spans="3:8" ht="12.75">
      <c r="C42" s="110" t="s">
        <v>207</v>
      </c>
      <c r="D42" s="111"/>
      <c r="E42"/>
      <c r="F42"/>
      <c r="G42" s="112">
        <f>+J28</f>
        <v>0</v>
      </c>
      <c r="H42" s="134" t="e">
        <f>+G42/F28</f>
        <v>#DIV/0!</v>
      </c>
    </row>
    <row r="43" spans="3:8" ht="12.75">
      <c r="C43" s="110" t="s">
        <v>208</v>
      </c>
      <c r="D43" s="111"/>
      <c r="E43"/>
      <c r="F43"/>
      <c r="G43" s="112">
        <f>+K28</f>
        <v>0</v>
      </c>
      <c r="H43" s="134" t="e">
        <f>+G43/F28</f>
        <v>#DIV/0!</v>
      </c>
    </row>
    <row r="44" spans="3:7" ht="12.75">
      <c r="C44"/>
      <c r="D44"/>
      <c r="E44"/>
      <c r="F44"/>
      <c r="G44" s="93"/>
    </row>
    <row r="45" spans="3:7" ht="15">
      <c r="C45" s="109" t="s">
        <v>209</v>
      </c>
      <c r="D45"/>
      <c r="E45"/>
      <c r="F45"/>
      <c r="G45" s="93"/>
    </row>
    <row r="46" spans="3:7" ht="12.75">
      <c r="C46" s="110" t="s">
        <v>207</v>
      </c>
      <c r="D46" s="111"/>
      <c r="E46"/>
      <c r="F46"/>
      <c r="G46" s="130" t="e">
        <f>+H42*G30</f>
        <v>#DIV/0!</v>
      </c>
    </row>
    <row r="47" spans="3:7" ht="12.75">
      <c r="C47" s="110" t="s">
        <v>208</v>
      </c>
      <c r="D47" s="111"/>
      <c r="E47"/>
      <c r="F47"/>
      <c r="G47" s="130" t="e">
        <f>+H43*G30</f>
        <v>#DIV/0!</v>
      </c>
    </row>
    <row r="48" spans="3:7" ht="12.75">
      <c r="C48"/>
      <c r="D48"/>
      <c r="E48"/>
      <c r="F48"/>
      <c r="G48" s="93"/>
    </row>
    <row r="49" spans="3:7" ht="15">
      <c r="C49" s="109" t="s">
        <v>210</v>
      </c>
      <c r="D49"/>
      <c r="E49"/>
      <c r="F49"/>
      <c r="G49" s="93"/>
    </row>
    <row r="50" spans="3:8" ht="12.75">
      <c r="C50" s="110" t="s">
        <v>207</v>
      </c>
      <c r="D50" s="111"/>
      <c r="E50"/>
      <c r="F50"/>
      <c r="G50" s="112" t="e">
        <f>+G42+G46</f>
        <v>#DIV/0!</v>
      </c>
      <c r="H50" s="134" t="e">
        <f>+G50/G33</f>
        <v>#DIV/0!</v>
      </c>
    </row>
    <row r="51" spans="3:8" ht="12.75">
      <c r="C51" s="110" t="s">
        <v>208</v>
      </c>
      <c r="D51" s="111"/>
      <c r="E51"/>
      <c r="F51"/>
      <c r="G51" s="112" t="e">
        <f>+G43+G47</f>
        <v>#DIV/0!</v>
      </c>
      <c r="H51" s="134" t="e">
        <f>+G51/G33</f>
        <v>#DIV/0!</v>
      </c>
    </row>
    <row r="53" spans="3:7" ht="18">
      <c r="C53" s="22" t="s">
        <v>46</v>
      </c>
      <c r="D53" s="26"/>
      <c r="E53" s="20"/>
      <c r="F53" s="20"/>
      <c r="G53" s="26"/>
    </row>
    <row r="54" ht="7.5" customHeight="1"/>
    <row r="55" ht="12.75">
      <c r="C55" s="6" t="s">
        <v>10</v>
      </c>
    </row>
    <row r="56" spans="3:7" ht="12.75">
      <c r="C56" s="8" t="s">
        <v>11</v>
      </c>
      <c r="D56" s="80"/>
      <c r="E56" s="81"/>
      <c r="F56" s="81"/>
      <c r="G56" s="80"/>
    </row>
    <row r="57" spans="3:7" ht="38.25" customHeight="1">
      <c r="C57" s="188" t="s">
        <v>49</v>
      </c>
      <c r="D57" s="189"/>
      <c r="E57" s="189"/>
      <c r="F57" s="189"/>
      <c r="G57" s="189"/>
    </row>
    <row r="58" spans="3:7" ht="12.75">
      <c r="C58" s="196" t="s">
        <v>12</v>
      </c>
      <c r="D58" s="196"/>
      <c r="E58" s="196"/>
      <c r="F58" s="196"/>
      <c r="G58" s="196"/>
    </row>
    <row r="59" spans="3:7" ht="38.25" customHeight="1">
      <c r="C59" s="188" t="s">
        <v>50</v>
      </c>
      <c r="D59" s="189"/>
      <c r="E59" s="189"/>
      <c r="F59" s="189"/>
      <c r="G59" s="189"/>
    </row>
    <row r="60" spans="3:7" ht="25.5" customHeight="1">
      <c r="C60" s="188" t="s">
        <v>51</v>
      </c>
      <c r="D60" s="189"/>
      <c r="E60" s="189"/>
      <c r="F60" s="189"/>
      <c r="G60" s="189"/>
    </row>
    <row r="61" spans="3:7" ht="12.75">
      <c r="C61" s="196" t="s">
        <v>13</v>
      </c>
      <c r="D61" s="196"/>
      <c r="E61" s="196"/>
      <c r="F61" s="196"/>
      <c r="G61" s="196"/>
    </row>
    <row r="62" spans="3:7" ht="12.75" customHeight="1">
      <c r="C62" s="188" t="s">
        <v>52</v>
      </c>
      <c r="D62" s="189"/>
      <c r="E62" s="189"/>
      <c r="F62" s="189"/>
      <c r="G62" s="189"/>
    </row>
    <row r="63" spans="3:7" ht="12.75" customHeight="1">
      <c r="C63" s="188" t="s">
        <v>53</v>
      </c>
      <c r="D63" s="189"/>
      <c r="E63" s="189"/>
      <c r="F63" s="189"/>
      <c r="G63" s="189"/>
    </row>
    <row r="64" spans="3:7" ht="39" customHeight="1">
      <c r="C64" s="190" t="s">
        <v>31</v>
      </c>
      <c r="D64" s="191"/>
      <c r="E64" s="191"/>
      <c r="F64" s="191"/>
      <c r="G64" s="191"/>
    </row>
    <row r="65" spans="1:17" s="9" customFormat="1" ht="9.75">
      <c r="A65" s="40"/>
      <c r="B65" s="66"/>
      <c r="C65" s="10"/>
      <c r="E65" s="19"/>
      <c r="F65" s="19"/>
      <c r="H65" s="135"/>
      <c r="I65" s="139"/>
      <c r="N65" s="96"/>
      <c r="Q65" s="88"/>
    </row>
    <row r="66" spans="3:7" ht="38.25" customHeight="1">
      <c r="C66" s="189" t="s">
        <v>14</v>
      </c>
      <c r="D66" s="189"/>
      <c r="E66" s="189"/>
      <c r="F66" s="189"/>
      <c r="G66" s="189"/>
    </row>
    <row r="67" spans="1:17" s="9" customFormat="1" ht="7.5" customHeight="1">
      <c r="A67" s="40"/>
      <c r="B67" s="66"/>
      <c r="C67" s="85"/>
      <c r="D67" s="85"/>
      <c r="E67" s="85"/>
      <c r="F67" s="85"/>
      <c r="G67" s="85"/>
      <c r="H67" s="135"/>
      <c r="I67" s="139"/>
      <c r="N67" s="96"/>
      <c r="Q67" s="88"/>
    </row>
    <row r="68" spans="3:7" ht="27.75" customHeight="1">
      <c r="C68" s="189" t="s">
        <v>15</v>
      </c>
      <c r="D68" s="189"/>
      <c r="E68" s="189"/>
      <c r="F68" s="189"/>
      <c r="G68" s="189"/>
    </row>
    <row r="69" spans="3:7" ht="26.25" customHeight="1">
      <c r="C69" s="85" t="s">
        <v>16</v>
      </c>
      <c r="D69" s="85"/>
      <c r="E69" s="85"/>
      <c r="F69" s="85"/>
      <c r="G69" s="85"/>
    </row>
    <row r="70" spans="3:7" ht="15.75" customHeight="1">
      <c r="C70" s="188" t="s">
        <v>47</v>
      </c>
      <c r="D70" s="188"/>
      <c r="E70" s="188"/>
      <c r="F70" s="188"/>
      <c r="G70" s="188"/>
    </row>
    <row r="71" spans="3:7" ht="93" customHeight="1">
      <c r="C71" s="192" t="s">
        <v>27</v>
      </c>
      <c r="D71" s="192"/>
      <c r="E71" s="192"/>
      <c r="F71" s="192"/>
      <c r="G71" s="192"/>
    </row>
    <row r="72" spans="4:7" ht="12.75">
      <c r="D72" s="23"/>
      <c r="E72" s="21"/>
      <c r="F72" s="24"/>
      <c r="G72" s="23"/>
    </row>
    <row r="73" spans="3:7" ht="12.75">
      <c r="C73" s="184" t="s">
        <v>34</v>
      </c>
      <c r="D73" s="185"/>
      <c r="E73" s="185"/>
      <c r="F73" s="185"/>
      <c r="G73" s="185"/>
    </row>
    <row r="74" spans="1:7" ht="14.25" customHeight="1">
      <c r="A74" s="12"/>
      <c r="B74" s="67"/>
      <c r="C74" s="184" t="s">
        <v>33</v>
      </c>
      <c r="D74" s="185"/>
      <c r="E74" s="185"/>
      <c r="F74" s="185"/>
      <c r="G74" s="185"/>
    </row>
    <row r="75" spans="1:7" ht="7.5" customHeight="1">
      <c r="A75" s="12"/>
      <c r="B75" s="68"/>
      <c r="C75" s="25"/>
      <c r="D75" s="26"/>
      <c r="E75" s="20"/>
      <c r="F75" s="27"/>
      <c r="G75" s="62"/>
    </row>
    <row r="76" spans="1:17" s="11" customFormat="1" ht="16.5">
      <c r="A76" s="34"/>
      <c r="B76" s="63">
        <v>1</v>
      </c>
      <c r="C76" s="183" t="s">
        <v>222</v>
      </c>
      <c r="D76" s="183"/>
      <c r="E76" s="183"/>
      <c r="F76" s="183"/>
      <c r="G76" s="183"/>
      <c r="H76" s="136"/>
      <c r="I76" s="140"/>
      <c r="N76" s="83"/>
      <c r="Q76" s="89"/>
    </row>
    <row r="77" spans="1:18" ht="12.75">
      <c r="A77" s="28">
        <v>1</v>
      </c>
      <c r="B77" s="29"/>
      <c r="C77" s="35" t="s">
        <v>320</v>
      </c>
      <c r="D77" s="36" t="s">
        <v>17</v>
      </c>
      <c r="E77" s="37">
        <v>1</v>
      </c>
      <c r="F77" s="172"/>
      <c r="G77" s="38">
        <f aca="true" t="shared" si="1" ref="G77:G90">E77*F77</f>
        <v>0</v>
      </c>
      <c r="H77" s="131" t="s">
        <v>205</v>
      </c>
      <c r="Q77" s="86">
        <f>0.22*E77</f>
        <v>0.22</v>
      </c>
      <c r="R77" t="s">
        <v>22</v>
      </c>
    </row>
    <row r="78" spans="1:18" ht="12.75">
      <c r="A78" s="28">
        <f>A77+1</f>
        <v>2</v>
      </c>
      <c r="B78" s="29"/>
      <c r="C78" s="35" t="s">
        <v>97</v>
      </c>
      <c r="D78" s="36" t="s">
        <v>20</v>
      </c>
      <c r="E78" s="37">
        <v>1</v>
      </c>
      <c r="F78" s="172"/>
      <c r="G78" s="38">
        <f t="shared" si="1"/>
        <v>0</v>
      </c>
      <c r="H78" s="131" t="s">
        <v>205</v>
      </c>
      <c r="Q78" s="86">
        <f>0.024*E78</f>
        <v>0.024</v>
      </c>
      <c r="R78" t="s">
        <v>22</v>
      </c>
    </row>
    <row r="79" spans="1:18" ht="12.75">
      <c r="A79" s="28">
        <f aca="true" t="shared" si="2" ref="A79:A91">A78+1</f>
        <v>3</v>
      </c>
      <c r="B79" s="29"/>
      <c r="C79" s="35" t="s">
        <v>321</v>
      </c>
      <c r="D79" s="36" t="s">
        <v>20</v>
      </c>
      <c r="E79" s="37">
        <v>2</v>
      </c>
      <c r="F79" s="172"/>
      <c r="G79" s="38">
        <f t="shared" si="1"/>
        <v>0</v>
      </c>
      <c r="H79" s="131" t="s">
        <v>205</v>
      </c>
      <c r="R79"/>
    </row>
    <row r="80" spans="1:18" ht="25.5">
      <c r="A80" s="28">
        <f t="shared" si="2"/>
        <v>4</v>
      </c>
      <c r="B80" s="29"/>
      <c r="C80" s="35" t="s">
        <v>230</v>
      </c>
      <c r="D80" s="36" t="s">
        <v>18</v>
      </c>
      <c r="E80" s="37">
        <f>0.25*E142</f>
        <v>20.3700375</v>
      </c>
      <c r="F80" s="172"/>
      <c r="G80" s="38">
        <f>E80*F80</f>
        <v>0</v>
      </c>
      <c r="H80" s="133" t="s">
        <v>205</v>
      </c>
      <c r="N80" s="7">
        <v>0.01</v>
      </c>
      <c r="O80" s="1">
        <v>2.1</v>
      </c>
      <c r="P80" s="1">
        <f>+E80*N80</f>
        <v>0.203700375</v>
      </c>
      <c r="Q80" s="86">
        <f>+O80*P80</f>
        <v>0.42777078749999997</v>
      </c>
      <c r="R80"/>
    </row>
    <row r="81" spans="1:18" ht="25.5">
      <c r="A81" s="28">
        <f t="shared" si="2"/>
        <v>5</v>
      </c>
      <c r="B81" s="29"/>
      <c r="C81" s="35" t="s">
        <v>322</v>
      </c>
      <c r="D81" s="36" t="s">
        <v>17</v>
      </c>
      <c r="E81" s="37">
        <v>1</v>
      </c>
      <c r="F81" s="172"/>
      <c r="G81" s="38">
        <f>E81*F81</f>
        <v>0</v>
      </c>
      <c r="H81" s="133" t="s">
        <v>205</v>
      </c>
      <c r="O81" s="7"/>
      <c r="P81" s="7"/>
      <c r="Q81" s="97"/>
      <c r="R81"/>
    </row>
    <row r="82" spans="1:18" ht="12.75">
      <c r="A82" s="28">
        <f t="shared" si="2"/>
        <v>6</v>
      </c>
      <c r="B82" s="29"/>
      <c r="C82" s="35" t="s">
        <v>325</v>
      </c>
      <c r="D82" s="36" t="s">
        <v>18</v>
      </c>
      <c r="E82" s="37">
        <f>10.4+10.4</f>
        <v>20.8</v>
      </c>
      <c r="F82" s="172"/>
      <c r="G82" s="38">
        <f>E82*F82</f>
        <v>0</v>
      </c>
      <c r="H82" s="133" t="s">
        <v>205</v>
      </c>
      <c r="N82" s="7">
        <v>0.025</v>
      </c>
      <c r="O82" s="7">
        <v>0.8</v>
      </c>
      <c r="P82" s="7"/>
      <c r="Q82" s="97">
        <f>+E82*N82*O82</f>
        <v>0.41600000000000004</v>
      </c>
      <c r="R82"/>
    </row>
    <row r="83" spans="1:18" ht="12.75">
      <c r="A83" s="28">
        <f t="shared" si="2"/>
        <v>7</v>
      </c>
      <c r="B83" s="29"/>
      <c r="C83" s="35" t="s">
        <v>324</v>
      </c>
      <c r="D83" s="36" t="s">
        <v>18</v>
      </c>
      <c r="E83" s="37">
        <v>10.4</v>
      </c>
      <c r="F83" s="172"/>
      <c r="G83" s="38">
        <f>E83*F83</f>
        <v>0</v>
      </c>
      <c r="H83" s="133" t="s">
        <v>205</v>
      </c>
      <c r="N83" s="7">
        <v>0.03</v>
      </c>
      <c r="O83" s="7">
        <v>0.8</v>
      </c>
      <c r="P83" s="7"/>
      <c r="Q83" s="97">
        <f>+E83*N83*O83</f>
        <v>0.24960000000000002</v>
      </c>
      <c r="R83"/>
    </row>
    <row r="84" spans="1:18" ht="12.75">
      <c r="A84" s="28">
        <f t="shared" si="2"/>
        <v>8</v>
      </c>
      <c r="B84" s="29"/>
      <c r="C84" s="35" t="s">
        <v>323</v>
      </c>
      <c r="D84" s="36" t="s">
        <v>18</v>
      </c>
      <c r="E84" s="37">
        <f>2*10.4</f>
        <v>20.8</v>
      </c>
      <c r="F84" s="172"/>
      <c r="G84" s="38">
        <f t="shared" si="1"/>
        <v>0</v>
      </c>
      <c r="H84" s="133" t="s">
        <v>205</v>
      </c>
      <c r="N84" s="7">
        <v>0.03</v>
      </c>
      <c r="O84" s="7">
        <v>0.8</v>
      </c>
      <c r="P84" s="7"/>
      <c r="Q84" s="97">
        <f>+E84*N84*O84</f>
        <v>0.49920000000000003</v>
      </c>
      <c r="R84"/>
    </row>
    <row r="85" spans="1:18" ht="12.75">
      <c r="A85" s="28">
        <f t="shared" si="2"/>
        <v>9</v>
      </c>
      <c r="B85" s="29"/>
      <c r="C85" s="35" t="s">
        <v>327</v>
      </c>
      <c r="D85" s="36" t="s">
        <v>21</v>
      </c>
      <c r="E85" s="37">
        <f>6*4.75</f>
        <v>28.5</v>
      </c>
      <c r="F85" s="172"/>
      <c r="G85" s="38">
        <f t="shared" si="1"/>
        <v>0</v>
      </c>
      <c r="H85" s="133" t="s">
        <v>205</v>
      </c>
      <c r="N85" s="7">
        <f>0.1*0.06</f>
        <v>0.006</v>
      </c>
      <c r="O85" s="7">
        <v>0.8</v>
      </c>
      <c r="P85" s="7"/>
      <c r="Q85" s="97">
        <f>+E85*N85*O85</f>
        <v>0.1368</v>
      </c>
      <c r="R85"/>
    </row>
    <row r="86" spans="1:18" ht="12.75">
      <c r="A86" s="28">
        <f t="shared" si="2"/>
        <v>10</v>
      </c>
      <c r="B86" s="29"/>
      <c r="C86" s="35" t="s">
        <v>315</v>
      </c>
      <c r="D86" s="36" t="s">
        <v>216</v>
      </c>
      <c r="E86" s="37">
        <f>0.12*10.4+0.15*10.4</f>
        <v>2.808</v>
      </c>
      <c r="F86" s="172"/>
      <c r="G86" s="38">
        <f>E86*F86</f>
        <v>0</v>
      </c>
      <c r="H86" s="133" t="s">
        <v>205</v>
      </c>
      <c r="O86" s="7">
        <v>1</v>
      </c>
      <c r="P86" s="7"/>
      <c r="Q86" s="97">
        <f>+E86*O86</f>
        <v>2.808</v>
      </c>
      <c r="R86"/>
    </row>
    <row r="87" spans="1:18" ht="12.75">
      <c r="A87" s="28">
        <f t="shared" si="2"/>
        <v>11</v>
      </c>
      <c r="B87" s="29"/>
      <c r="C87" s="35" t="s">
        <v>98</v>
      </c>
      <c r="D87" s="36" t="s">
        <v>20</v>
      </c>
      <c r="E87" s="37">
        <v>1</v>
      </c>
      <c r="F87" s="172"/>
      <c r="G87" s="38">
        <f t="shared" si="1"/>
        <v>0</v>
      </c>
      <c r="H87" s="133" t="s">
        <v>205</v>
      </c>
      <c r="Q87" s="86">
        <f>0.02*E87</f>
        <v>0.02</v>
      </c>
      <c r="R87" t="s">
        <v>22</v>
      </c>
    </row>
    <row r="88" spans="1:18" ht="12.75">
      <c r="A88" s="28">
        <f t="shared" si="2"/>
        <v>12</v>
      </c>
      <c r="B88" s="29"/>
      <c r="C88" s="35" t="s">
        <v>252</v>
      </c>
      <c r="D88" s="36" t="s">
        <v>20</v>
      </c>
      <c r="E88" s="37">
        <v>1</v>
      </c>
      <c r="F88" s="172"/>
      <c r="G88" s="38">
        <f t="shared" si="1"/>
        <v>0</v>
      </c>
      <c r="H88" s="133" t="s">
        <v>205</v>
      </c>
      <c r="R88"/>
    </row>
    <row r="89" spans="1:18" ht="12.75">
      <c r="A89" s="28">
        <f t="shared" si="2"/>
        <v>13</v>
      </c>
      <c r="B89" s="29"/>
      <c r="C89" s="35" t="s">
        <v>99</v>
      </c>
      <c r="D89" s="36" t="s">
        <v>20</v>
      </c>
      <c r="E89" s="37">
        <v>2</v>
      </c>
      <c r="F89" s="172"/>
      <c r="G89" s="38">
        <f t="shared" si="1"/>
        <v>0</v>
      </c>
      <c r="H89" s="133" t="s">
        <v>205</v>
      </c>
      <c r="R89"/>
    </row>
    <row r="90" spans="1:18" ht="12.75">
      <c r="A90" s="28">
        <f t="shared" si="2"/>
        <v>14</v>
      </c>
      <c r="B90" s="29"/>
      <c r="C90" s="35" t="s">
        <v>220</v>
      </c>
      <c r="D90" s="36" t="s">
        <v>17</v>
      </c>
      <c r="E90" s="37">
        <v>1</v>
      </c>
      <c r="F90" s="172"/>
      <c r="G90" s="38">
        <f t="shared" si="1"/>
        <v>0</v>
      </c>
      <c r="H90" s="133" t="s">
        <v>205</v>
      </c>
      <c r="Q90" s="86">
        <f>0.05*E90</f>
        <v>0.05</v>
      </c>
      <c r="R90" t="s">
        <v>22</v>
      </c>
    </row>
    <row r="91" spans="1:19" ht="12.75">
      <c r="A91" s="28">
        <f t="shared" si="2"/>
        <v>15</v>
      </c>
      <c r="B91" s="29"/>
      <c r="C91" s="35" t="s">
        <v>326</v>
      </c>
      <c r="D91" s="36" t="s">
        <v>18</v>
      </c>
      <c r="E91" s="37">
        <f>0.87*2.05+0.9*2.24</f>
        <v>3.7995</v>
      </c>
      <c r="F91" s="172"/>
      <c r="G91" s="38">
        <f aca="true" t="shared" si="3" ref="G91:G96">E91*F91</f>
        <v>0</v>
      </c>
      <c r="H91" s="133" t="s">
        <v>205</v>
      </c>
      <c r="O91" s="1">
        <v>2.1</v>
      </c>
      <c r="P91" s="7">
        <f>+E91*0.1</f>
        <v>0.37995</v>
      </c>
      <c r="Q91" s="86">
        <f>+P91*O91</f>
        <v>0.797895</v>
      </c>
      <c r="R91" t="s">
        <v>22</v>
      </c>
      <c r="S91" s="86" t="e">
        <f>+#REF!+Q78+#REF!+Q84+Q85</f>
        <v>#REF!</v>
      </c>
    </row>
    <row r="92" spans="1:19" ht="12.75">
      <c r="A92" s="28"/>
      <c r="B92" s="29"/>
      <c r="C92" s="150" t="s">
        <v>328</v>
      </c>
      <c r="D92" s="36"/>
      <c r="E92" s="37"/>
      <c r="F92" s="172"/>
      <c r="G92" s="38"/>
      <c r="H92" s="133"/>
      <c r="P92" s="7"/>
      <c r="R92"/>
      <c r="S92" s="86"/>
    </row>
    <row r="93" spans="1:19" ht="12.75">
      <c r="A93" s="28">
        <f>A91+1</f>
        <v>16</v>
      </c>
      <c r="B93" s="29"/>
      <c r="C93" s="35" t="s">
        <v>329</v>
      </c>
      <c r="D93" s="36" t="s">
        <v>20</v>
      </c>
      <c r="E93" s="37">
        <v>1</v>
      </c>
      <c r="F93" s="172"/>
      <c r="G93" s="38">
        <f>E93*F93</f>
        <v>0</v>
      </c>
      <c r="H93" s="133" t="s">
        <v>205</v>
      </c>
      <c r="P93" s="7"/>
      <c r="R93"/>
      <c r="S93" s="86"/>
    </row>
    <row r="94" spans="1:19" ht="25.5">
      <c r="A94" s="28">
        <f aca="true" t="shared" si="4" ref="A94:A100">A93+1</f>
        <v>17</v>
      </c>
      <c r="B94" s="29"/>
      <c r="C94" s="35" t="s">
        <v>330</v>
      </c>
      <c r="D94" s="36" t="s">
        <v>17</v>
      </c>
      <c r="E94" s="37">
        <v>1</v>
      </c>
      <c r="F94" s="172"/>
      <c r="G94" s="38">
        <f>E94*F94</f>
        <v>0</v>
      </c>
      <c r="H94" s="133" t="s">
        <v>205</v>
      </c>
      <c r="P94" s="7"/>
      <c r="R94"/>
      <c r="S94" s="86"/>
    </row>
    <row r="95" spans="1:19" ht="12.75">
      <c r="A95" s="28">
        <f t="shared" si="4"/>
        <v>18</v>
      </c>
      <c r="B95" s="29"/>
      <c r="C95" s="35" t="s">
        <v>177</v>
      </c>
      <c r="D95" s="36" t="s">
        <v>18</v>
      </c>
      <c r="E95" s="37">
        <f>2*1.1*1.83</f>
        <v>4.026000000000001</v>
      </c>
      <c r="F95" s="172"/>
      <c r="G95" s="38">
        <f t="shared" si="3"/>
        <v>0</v>
      </c>
      <c r="H95" s="133" t="s">
        <v>205</v>
      </c>
      <c r="N95" s="7">
        <f>0.04*0.7</f>
        <v>0.027999999999999997</v>
      </c>
      <c r="O95" s="1">
        <v>2.1</v>
      </c>
      <c r="Q95" s="86">
        <f>+N95*O95</f>
        <v>0.0588</v>
      </c>
      <c r="S95" s="86" t="e">
        <f>+Q80+#REF!+#REF!+#REF!+Q91+Q95</f>
        <v>#REF!</v>
      </c>
    </row>
    <row r="96" spans="1:18" ht="12.75">
      <c r="A96" s="28">
        <f t="shared" si="4"/>
        <v>19</v>
      </c>
      <c r="B96" s="29"/>
      <c r="C96" s="35" t="s">
        <v>95</v>
      </c>
      <c r="D96" s="36" t="s">
        <v>22</v>
      </c>
      <c r="E96" s="37">
        <f>+Q96</f>
        <v>5.708065787499999</v>
      </c>
      <c r="F96" s="172"/>
      <c r="G96" s="38">
        <f t="shared" si="3"/>
        <v>0</v>
      </c>
      <c r="H96" s="133" t="s">
        <v>205</v>
      </c>
      <c r="Q96" s="87">
        <f>SUM(Q77:Q95)</f>
        <v>5.708065787499999</v>
      </c>
      <c r="R96" s="5" t="s">
        <v>22</v>
      </c>
    </row>
    <row r="97" spans="1:8" ht="12.75">
      <c r="A97" s="28">
        <f t="shared" si="4"/>
        <v>20</v>
      </c>
      <c r="B97" s="29"/>
      <c r="C97" s="35" t="s">
        <v>202</v>
      </c>
      <c r="D97" s="36" t="s">
        <v>22</v>
      </c>
      <c r="E97" s="37">
        <f>+E96</f>
        <v>5.708065787499999</v>
      </c>
      <c r="F97" s="172"/>
      <c r="G97" s="38">
        <f>E97*F97</f>
        <v>0</v>
      </c>
      <c r="H97" s="133" t="s">
        <v>205</v>
      </c>
    </row>
    <row r="98" spans="1:8" ht="12.75">
      <c r="A98" s="28">
        <f t="shared" si="4"/>
        <v>21</v>
      </c>
      <c r="B98" s="29"/>
      <c r="C98" s="35" t="s">
        <v>96</v>
      </c>
      <c r="D98" s="36" t="s">
        <v>22</v>
      </c>
      <c r="E98" s="37">
        <f>+E96</f>
        <v>5.708065787499999</v>
      </c>
      <c r="F98" s="172"/>
      <c r="G98" s="38">
        <f>E98*F98</f>
        <v>0</v>
      </c>
      <c r="H98" s="133" t="s">
        <v>205</v>
      </c>
    </row>
    <row r="99" spans="1:8" ht="25.5">
      <c r="A99" s="28">
        <f t="shared" si="4"/>
        <v>22</v>
      </c>
      <c r="B99" s="29"/>
      <c r="C99" s="35" t="s">
        <v>100</v>
      </c>
      <c r="D99" s="36" t="s">
        <v>22</v>
      </c>
      <c r="E99" s="37">
        <f>+Q78</f>
        <v>0.024</v>
      </c>
      <c r="F99" s="172"/>
      <c r="G99" s="38">
        <f>E99*F99</f>
        <v>0</v>
      </c>
      <c r="H99" s="133" t="s">
        <v>205</v>
      </c>
    </row>
    <row r="100" spans="1:8" ht="26.25" thickBot="1">
      <c r="A100" s="28">
        <f t="shared" si="4"/>
        <v>23</v>
      </c>
      <c r="B100" s="29"/>
      <c r="C100" s="35" t="s">
        <v>94</v>
      </c>
      <c r="D100" s="36" t="s">
        <v>22</v>
      </c>
      <c r="E100" s="37">
        <f>+E96-E99</f>
        <v>5.684065787499999</v>
      </c>
      <c r="F100" s="172"/>
      <c r="G100" s="38">
        <f>E100*F100</f>
        <v>0</v>
      </c>
      <c r="H100" s="133" t="s">
        <v>205</v>
      </c>
    </row>
    <row r="101" spans="1:8" ht="13.5" thickBot="1">
      <c r="A101" s="28"/>
      <c r="B101" s="29"/>
      <c r="C101" s="41" t="s">
        <v>19</v>
      </c>
      <c r="D101" s="42"/>
      <c r="E101" s="43"/>
      <c r="F101" s="44"/>
      <c r="G101" s="45">
        <f>SUBTOTAL(9,G77:G100)</f>
        <v>0</v>
      </c>
      <c r="H101" s="133"/>
    </row>
    <row r="102" spans="1:8" ht="12.75">
      <c r="A102" s="28"/>
      <c r="B102" s="29"/>
      <c r="C102" s="13"/>
      <c r="D102" s="14"/>
      <c r="E102" s="20"/>
      <c r="F102" s="20"/>
      <c r="G102" s="15"/>
      <c r="H102" s="133"/>
    </row>
    <row r="103" spans="1:8" ht="16.5">
      <c r="A103" s="28"/>
      <c r="B103" s="63" t="s">
        <v>28</v>
      </c>
      <c r="C103" s="183" t="s">
        <v>178</v>
      </c>
      <c r="D103" s="183"/>
      <c r="E103" s="183"/>
      <c r="F103" s="183"/>
      <c r="G103" s="183"/>
      <c r="H103" s="133"/>
    </row>
    <row r="104" spans="1:8" ht="16.5">
      <c r="A104" s="28"/>
      <c r="B104" s="70" t="s">
        <v>37</v>
      </c>
      <c r="C104" s="183" t="s">
        <v>55</v>
      </c>
      <c r="D104" s="183"/>
      <c r="E104" s="183"/>
      <c r="F104" s="183"/>
      <c r="G104" s="183"/>
      <c r="H104" s="133"/>
    </row>
    <row r="105" spans="1:14" ht="25.5">
      <c r="A105" s="28">
        <f>+A100+1</f>
        <v>24</v>
      </c>
      <c r="B105" s="29"/>
      <c r="C105" s="35" t="s">
        <v>291</v>
      </c>
      <c r="D105" s="36" t="s">
        <v>18</v>
      </c>
      <c r="E105" s="37">
        <f>1.19*2.2+0.1*2.24</f>
        <v>2.842</v>
      </c>
      <c r="F105" s="172"/>
      <c r="G105" s="38">
        <f>E105*F105</f>
        <v>0</v>
      </c>
      <c r="H105" s="133" t="s">
        <v>214</v>
      </c>
      <c r="I105" s="141"/>
      <c r="J105" s="21"/>
      <c r="K105" s="21"/>
      <c r="L105" s="21"/>
      <c r="N105" s="1"/>
    </row>
    <row r="106" spans="1:8" ht="12.75">
      <c r="A106" s="28"/>
      <c r="B106" s="29"/>
      <c r="C106" s="150" t="s">
        <v>384</v>
      </c>
      <c r="D106" s="36"/>
      <c r="E106" s="37"/>
      <c r="F106" s="178"/>
      <c r="G106" s="38"/>
      <c r="H106" s="133"/>
    </row>
    <row r="107" spans="1:8" ht="38.25">
      <c r="A107" s="28">
        <f>+A105+1</f>
        <v>25</v>
      </c>
      <c r="B107" s="29"/>
      <c r="C107" s="149" t="s">
        <v>380</v>
      </c>
      <c r="D107" s="146" t="s">
        <v>18</v>
      </c>
      <c r="E107" s="147">
        <f>1.41*1.2</f>
        <v>1.692</v>
      </c>
      <c r="F107" s="172"/>
      <c r="G107" s="148">
        <f>E107*F107</f>
        <v>0</v>
      </c>
      <c r="H107" s="133" t="s">
        <v>214</v>
      </c>
    </row>
    <row r="108" spans="1:8" ht="12.75">
      <c r="A108" s="28"/>
      <c r="B108" s="29"/>
      <c r="C108" s="150" t="s">
        <v>381</v>
      </c>
      <c r="D108" s="36"/>
      <c r="E108" s="37"/>
      <c r="F108" s="178"/>
      <c r="G108" s="38"/>
      <c r="H108" s="133"/>
    </row>
    <row r="109" spans="1:14" ht="25.5">
      <c r="A109" s="28">
        <f>+A107+1</f>
        <v>26</v>
      </c>
      <c r="B109" s="29" t="s">
        <v>386</v>
      </c>
      <c r="C109" s="149" t="s">
        <v>385</v>
      </c>
      <c r="D109" s="146" t="s">
        <v>18</v>
      </c>
      <c r="E109" s="147">
        <f>+(2.58+2.38)*2.82+1.1*2.86-0.8*2.05-0.9*2.05</f>
        <v>13.648199999999997</v>
      </c>
      <c r="F109" s="172"/>
      <c r="G109" s="148">
        <f>E109*F109</f>
        <v>0</v>
      </c>
      <c r="H109" s="131" t="s">
        <v>214</v>
      </c>
      <c r="I109" s="141"/>
      <c r="J109" s="21"/>
      <c r="K109" s="21"/>
      <c r="L109" s="21"/>
      <c r="N109" s="1"/>
    </row>
    <row r="110" spans="1:14" ht="12.75">
      <c r="A110" s="28"/>
      <c r="B110" s="29"/>
      <c r="C110" s="150" t="s">
        <v>331</v>
      </c>
      <c r="D110" s="36"/>
      <c r="E110" s="37"/>
      <c r="F110" s="178"/>
      <c r="G110" s="38"/>
      <c r="H110" s="133"/>
      <c r="I110" s="141"/>
      <c r="J110" s="21"/>
      <c r="K110" s="21"/>
      <c r="L110" s="21"/>
      <c r="N110" s="31"/>
    </row>
    <row r="111" spans="1:14" ht="12.75">
      <c r="A111" s="28">
        <f>A109+1</f>
        <v>27</v>
      </c>
      <c r="B111" s="75" t="s">
        <v>389</v>
      </c>
      <c r="C111" s="76" t="s">
        <v>388</v>
      </c>
      <c r="D111" s="77" t="s">
        <v>18</v>
      </c>
      <c r="E111" s="78">
        <f>2*E109*1.1</f>
        <v>30.02604</v>
      </c>
      <c r="F111" s="173"/>
      <c r="G111" s="79">
        <f>E111*F111</f>
        <v>0</v>
      </c>
      <c r="H111" s="133" t="s">
        <v>214</v>
      </c>
      <c r="I111" s="141"/>
      <c r="J111" s="21"/>
      <c r="K111" s="21"/>
      <c r="L111" s="21"/>
      <c r="N111" s="31"/>
    </row>
    <row r="112" spans="1:14" ht="12.75">
      <c r="A112" s="28">
        <f>A111+1</f>
        <v>28</v>
      </c>
      <c r="B112" s="75" t="s">
        <v>389</v>
      </c>
      <c r="C112" s="76" t="s">
        <v>387</v>
      </c>
      <c r="D112" s="77" t="s">
        <v>18</v>
      </c>
      <c r="E112" s="78">
        <f>+E109</f>
        <v>13.648199999999997</v>
      </c>
      <c r="F112" s="173"/>
      <c r="G112" s="79">
        <f>E112*F112</f>
        <v>0</v>
      </c>
      <c r="H112" s="133" t="s">
        <v>214</v>
      </c>
      <c r="I112" s="141"/>
      <c r="J112" s="21"/>
      <c r="K112" s="21"/>
      <c r="L112" s="21"/>
      <c r="N112" s="31"/>
    </row>
    <row r="113" spans="1:14" ht="25.5">
      <c r="A113" s="28">
        <f>+A112+1</f>
        <v>29</v>
      </c>
      <c r="B113" s="29" t="s">
        <v>332</v>
      </c>
      <c r="C113" s="35" t="s">
        <v>333</v>
      </c>
      <c r="D113" s="146" t="s">
        <v>18</v>
      </c>
      <c r="E113" s="147">
        <f>2*2.38*2.82</f>
        <v>13.423199999999998</v>
      </c>
      <c r="F113" s="172"/>
      <c r="G113" s="148">
        <f>E113*F113</f>
        <v>0</v>
      </c>
      <c r="H113" s="131" t="s">
        <v>214</v>
      </c>
      <c r="I113" s="141"/>
      <c r="J113" s="21"/>
      <c r="K113" s="21"/>
      <c r="L113" s="21"/>
      <c r="N113" s="31"/>
    </row>
    <row r="114" spans="1:14" ht="12.75">
      <c r="A114" s="28"/>
      <c r="B114" s="29"/>
      <c r="C114" s="163" t="s">
        <v>390</v>
      </c>
      <c r="D114" s="146"/>
      <c r="E114" s="147"/>
      <c r="F114" s="178"/>
      <c r="G114" s="148"/>
      <c r="I114" s="141"/>
      <c r="J114" s="21"/>
      <c r="K114" s="21"/>
      <c r="L114" s="21"/>
      <c r="N114" s="31"/>
    </row>
    <row r="115" spans="1:14" ht="12.75">
      <c r="A115" s="28">
        <f>A113+1</f>
        <v>30</v>
      </c>
      <c r="B115" s="75" t="s">
        <v>334</v>
      </c>
      <c r="C115" s="76" t="s">
        <v>391</v>
      </c>
      <c r="D115" s="77" t="s">
        <v>18</v>
      </c>
      <c r="E115" s="78">
        <f>+(2*E113)*1.2</f>
        <v>32.21567999999999</v>
      </c>
      <c r="F115" s="173"/>
      <c r="G115" s="79">
        <f>E115*F115</f>
        <v>0</v>
      </c>
      <c r="H115" s="133" t="s">
        <v>214</v>
      </c>
      <c r="I115" s="141"/>
      <c r="J115" s="21"/>
      <c r="K115" s="21"/>
      <c r="L115" s="21"/>
      <c r="N115" s="31"/>
    </row>
    <row r="116" spans="1:14" ht="12.75">
      <c r="A116" s="28">
        <f>A115+1</f>
        <v>31</v>
      </c>
      <c r="B116" s="75" t="s">
        <v>334</v>
      </c>
      <c r="C116" s="76" t="s">
        <v>335</v>
      </c>
      <c r="D116" s="77" t="s">
        <v>18</v>
      </c>
      <c r="E116" s="78">
        <f>+E113</f>
        <v>13.423199999999998</v>
      </c>
      <c r="F116" s="173"/>
      <c r="G116" s="79">
        <f>E116*F116</f>
        <v>0</v>
      </c>
      <c r="H116" s="133" t="s">
        <v>214</v>
      </c>
      <c r="I116" s="141"/>
      <c r="J116" s="21"/>
      <c r="K116" s="21"/>
      <c r="L116" s="21"/>
      <c r="N116" s="31"/>
    </row>
    <row r="117" spans="1:14" ht="25.5">
      <c r="A117" s="28">
        <f>A116+1</f>
        <v>32</v>
      </c>
      <c r="B117" s="29"/>
      <c r="C117" s="149" t="s">
        <v>392</v>
      </c>
      <c r="D117" s="146" t="s">
        <v>17</v>
      </c>
      <c r="E117" s="147">
        <v>1</v>
      </c>
      <c r="F117" s="172"/>
      <c r="G117" s="148">
        <f>E117*F117</f>
        <v>0</v>
      </c>
      <c r="H117" s="131" t="s">
        <v>214</v>
      </c>
      <c r="J117" s="21"/>
      <c r="K117" s="21"/>
      <c r="L117" s="21"/>
      <c r="N117" s="1"/>
    </row>
    <row r="118" spans="1:8" ht="13.5" thickBot="1">
      <c r="A118" s="28">
        <f>A117+1</f>
        <v>33</v>
      </c>
      <c r="B118" s="29"/>
      <c r="C118" s="74" t="s">
        <v>48</v>
      </c>
      <c r="D118" s="36" t="s">
        <v>26</v>
      </c>
      <c r="E118" s="37">
        <f>+G105+G111+G112+G115+G116+G117+G107</f>
        <v>0</v>
      </c>
      <c r="F118" s="176"/>
      <c r="G118" s="38">
        <f>E118*F118</f>
        <v>0</v>
      </c>
      <c r="H118" s="133" t="s">
        <v>214</v>
      </c>
    </row>
    <row r="119" spans="1:8" ht="13.5" thickBot="1">
      <c r="A119" s="28"/>
      <c r="B119" s="29"/>
      <c r="C119" s="46" t="s">
        <v>19</v>
      </c>
      <c r="D119" s="47"/>
      <c r="E119" s="48"/>
      <c r="F119" s="48"/>
      <c r="G119" s="45">
        <f>SUBTOTAL(9,G105:G118)</f>
        <v>0</v>
      </c>
      <c r="H119" s="133"/>
    </row>
    <row r="120" spans="1:8" ht="12.75">
      <c r="A120" s="28"/>
      <c r="B120" s="29"/>
      <c r="C120" s="13"/>
      <c r="D120" s="14"/>
      <c r="E120" s="20"/>
      <c r="F120" s="20"/>
      <c r="G120" s="15"/>
      <c r="H120" s="133"/>
    </row>
    <row r="121" spans="1:8" ht="16.5">
      <c r="A121" s="28"/>
      <c r="B121" s="70" t="s">
        <v>38</v>
      </c>
      <c r="C121" s="183" t="s">
        <v>56</v>
      </c>
      <c r="D121" s="183"/>
      <c r="E121" s="183"/>
      <c r="F121" s="183"/>
      <c r="G121" s="183"/>
      <c r="H121" s="133"/>
    </row>
    <row r="122" spans="1:14" ht="52.5" customHeight="1">
      <c r="A122" s="28"/>
      <c r="B122" s="63"/>
      <c r="C122" s="184" t="s">
        <v>73</v>
      </c>
      <c r="D122" s="184"/>
      <c r="E122" s="184"/>
      <c r="F122" s="184"/>
      <c r="G122" s="184"/>
      <c r="H122" s="133"/>
      <c r="N122" s="69"/>
    </row>
    <row r="123" spans="1:14" ht="38.25">
      <c r="A123" s="28">
        <f>A118+1</f>
        <v>34</v>
      </c>
      <c r="B123" s="29" t="s">
        <v>193</v>
      </c>
      <c r="C123" s="35" t="s">
        <v>262</v>
      </c>
      <c r="D123" s="36" t="s">
        <v>18</v>
      </c>
      <c r="E123" s="37">
        <f>3.4+1.5+1+0.5*2.38</f>
        <v>7.09</v>
      </c>
      <c r="F123" s="172"/>
      <c r="G123" s="38">
        <f>E123*F123</f>
        <v>0</v>
      </c>
      <c r="H123" s="133" t="s">
        <v>214</v>
      </c>
      <c r="N123" s="1"/>
    </row>
    <row r="124" spans="1:8" ht="12.75">
      <c r="A124" s="28"/>
      <c r="B124" s="29"/>
      <c r="C124" s="150" t="s">
        <v>379</v>
      </c>
      <c r="D124" s="36"/>
      <c r="E124" s="37" t="s">
        <v>240</v>
      </c>
      <c r="F124" s="178"/>
      <c r="G124" s="38"/>
      <c r="H124" s="133"/>
    </row>
    <row r="125" spans="1:8" ht="12.75">
      <c r="A125" s="28">
        <f>A123+1</f>
        <v>35</v>
      </c>
      <c r="B125" s="29" t="s">
        <v>253</v>
      </c>
      <c r="C125" s="35" t="s">
        <v>336</v>
      </c>
      <c r="D125" s="36" t="s">
        <v>18</v>
      </c>
      <c r="E125" s="37">
        <f>0.65*1.6</f>
        <v>1.04</v>
      </c>
      <c r="F125" s="172"/>
      <c r="G125" s="38">
        <f aca="true" t="shared" si="5" ref="G125:G131">E125*F125</f>
        <v>0</v>
      </c>
      <c r="H125" s="133" t="s">
        <v>214</v>
      </c>
    </row>
    <row r="126" spans="1:8" ht="12.75">
      <c r="A126" s="28">
        <f aca="true" t="shared" si="6" ref="A126:A131">A125+1</f>
        <v>36</v>
      </c>
      <c r="B126" s="75" t="s">
        <v>194</v>
      </c>
      <c r="C126" s="76" t="s">
        <v>72</v>
      </c>
      <c r="D126" s="77" t="s">
        <v>18</v>
      </c>
      <c r="E126" s="78">
        <f>3.4*1.1</f>
        <v>3.74</v>
      </c>
      <c r="F126" s="173"/>
      <c r="G126" s="79">
        <f t="shared" si="5"/>
        <v>0</v>
      </c>
      <c r="H126" s="133" t="s">
        <v>214</v>
      </c>
    </row>
    <row r="127" spans="1:8" ht="12.75">
      <c r="A127" s="28">
        <f t="shared" si="6"/>
        <v>37</v>
      </c>
      <c r="B127" s="75" t="s">
        <v>263</v>
      </c>
      <c r="C127" s="76" t="s">
        <v>264</v>
      </c>
      <c r="D127" s="77" t="s">
        <v>18</v>
      </c>
      <c r="E127" s="78">
        <f>+(1.5+1+0.5*2.38+E125)*1.1</f>
        <v>5.203000000000001</v>
      </c>
      <c r="F127" s="173"/>
      <c r="G127" s="79">
        <f t="shared" si="5"/>
        <v>0</v>
      </c>
      <c r="H127" s="133" t="s">
        <v>214</v>
      </c>
    </row>
    <row r="128" spans="1:8" ht="12.75">
      <c r="A128" s="28">
        <f t="shared" si="6"/>
        <v>38</v>
      </c>
      <c r="B128" s="75" t="s">
        <v>194</v>
      </c>
      <c r="C128" s="76" t="s">
        <v>219</v>
      </c>
      <c r="D128" s="77" t="s">
        <v>18</v>
      </c>
      <c r="E128" s="78">
        <f>+E123</f>
        <v>7.09</v>
      </c>
      <c r="F128" s="173"/>
      <c r="G128" s="79">
        <f t="shared" si="5"/>
        <v>0</v>
      </c>
      <c r="H128" s="133" t="s">
        <v>214</v>
      </c>
    </row>
    <row r="129" spans="1:8" ht="25.5">
      <c r="A129" s="28">
        <f t="shared" si="6"/>
        <v>39</v>
      </c>
      <c r="B129" s="75" t="s">
        <v>194</v>
      </c>
      <c r="C129" s="76" t="s">
        <v>261</v>
      </c>
      <c r="D129" s="77" t="s">
        <v>18</v>
      </c>
      <c r="E129" s="78">
        <f>E126</f>
        <v>3.74</v>
      </c>
      <c r="F129" s="173"/>
      <c r="G129" s="79">
        <f t="shared" si="5"/>
        <v>0</v>
      </c>
      <c r="H129" s="133" t="s">
        <v>214</v>
      </c>
    </row>
    <row r="130" spans="1:14" ht="12.75">
      <c r="A130" s="28">
        <f t="shared" si="6"/>
        <v>40</v>
      </c>
      <c r="B130" s="29" t="s">
        <v>193</v>
      </c>
      <c r="C130" s="35" t="s">
        <v>83</v>
      </c>
      <c r="D130" s="36" t="s">
        <v>18</v>
      </c>
      <c r="E130" s="37">
        <f>+E123+E125</f>
        <v>8.129999999999999</v>
      </c>
      <c r="F130" s="172"/>
      <c r="G130" s="38">
        <f t="shared" si="5"/>
        <v>0</v>
      </c>
      <c r="H130" s="129" t="s">
        <v>214</v>
      </c>
      <c r="N130" s="69"/>
    </row>
    <row r="131" spans="1:8" ht="13.5" thickBot="1">
      <c r="A131" s="28">
        <f t="shared" si="6"/>
        <v>41</v>
      </c>
      <c r="B131" s="29"/>
      <c r="C131" s="35" t="s">
        <v>45</v>
      </c>
      <c r="D131" s="32" t="s">
        <v>26</v>
      </c>
      <c r="E131" s="37">
        <f>SUM(G126:G129)</f>
        <v>0</v>
      </c>
      <c r="F131" s="174"/>
      <c r="G131" s="30">
        <f t="shared" si="5"/>
        <v>0</v>
      </c>
      <c r="H131" s="133" t="s">
        <v>214</v>
      </c>
    </row>
    <row r="132" spans="1:8" ht="13.5" thickBot="1">
      <c r="A132" s="28"/>
      <c r="B132" s="29"/>
      <c r="C132" s="46" t="s">
        <v>19</v>
      </c>
      <c r="D132" s="47"/>
      <c r="E132" s="48"/>
      <c r="F132" s="48"/>
      <c r="G132" s="45">
        <f>SUBTOTAL(9,G123:G131)</f>
        <v>0</v>
      </c>
      <c r="H132" s="133"/>
    </row>
    <row r="133" spans="1:8" ht="12.75">
      <c r="A133" s="28"/>
      <c r="B133" s="29"/>
      <c r="C133" s="13"/>
      <c r="D133" s="14"/>
      <c r="E133" s="20"/>
      <c r="F133" s="20"/>
      <c r="G133" s="15"/>
      <c r="H133" s="133"/>
    </row>
    <row r="134" spans="1:8" ht="16.5">
      <c r="A134" s="28"/>
      <c r="B134" s="70" t="s">
        <v>39</v>
      </c>
      <c r="C134" s="183" t="s">
        <v>225</v>
      </c>
      <c r="D134" s="183"/>
      <c r="E134" s="183"/>
      <c r="F134" s="183"/>
      <c r="G134" s="183"/>
      <c r="H134" s="133"/>
    </row>
    <row r="135" spans="1:14" ht="30" customHeight="1">
      <c r="A135" s="28"/>
      <c r="B135" s="29"/>
      <c r="C135" s="185" t="s">
        <v>57</v>
      </c>
      <c r="D135" s="185"/>
      <c r="E135" s="185"/>
      <c r="F135" s="185"/>
      <c r="G135" s="185"/>
      <c r="H135" s="129"/>
      <c r="N135" s="69"/>
    </row>
    <row r="136" spans="1:14" ht="65.25" customHeight="1">
      <c r="A136" s="28">
        <f>A131+1</f>
        <v>42</v>
      </c>
      <c r="B136" s="29" t="s">
        <v>231</v>
      </c>
      <c r="C136" s="35" t="s">
        <v>341</v>
      </c>
      <c r="D136" s="36" t="s">
        <v>18</v>
      </c>
      <c r="E136" s="37">
        <f>2*E105+0.15*12+0.1*E137</f>
        <v>11.6119</v>
      </c>
      <c r="F136" s="172"/>
      <c r="G136" s="38">
        <f>E136*F136</f>
        <v>0</v>
      </c>
      <c r="H136" s="129" t="s">
        <v>205</v>
      </c>
      <c r="N136" s="69"/>
    </row>
    <row r="137" spans="1:8" ht="12.75">
      <c r="A137" s="28">
        <f>A136+1</f>
        <v>43</v>
      </c>
      <c r="B137" s="29" t="s">
        <v>232</v>
      </c>
      <c r="C137" s="35" t="s">
        <v>190</v>
      </c>
      <c r="D137" s="36" t="s">
        <v>18</v>
      </c>
      <c r="E137" s="37">
        <f>+E138</f>
        <v>41.279</v>
      </c>
      <c r="F137" s="172"/>
      <c r="G137" s="38">
        <f>E137*F137</f>
        <v>0</v>
      </c>
      <c r="H137" s="133" t="s">
        <v>205</v>
      </c>
    </row>
    <row r="138" spans="1:14" ht="25.5">
      <c r="A138" s="28">
        <f>A137+1</f>
        <v>44</v>
      </c>
      <c r="B138" s="29" t="s">
        <v>232</v>
      </c>
      <c r="C138" s="35" t="s">
        <v>265</v>
      </c>
      <c r="D138" s="36" t="s">
        <v>18</v>
      </c>
      <c r="E138" s="37">
        <f>1.12*2.5-0.9*2.05+(12.6+3.2)*2.83-0.9*2.3-2*0.9*1.81-0.6*(1.6+2*0.6)+1.19*2.2</f>
        <v>41.279</v>
      </c>
      <c r="F138" s="172"/>
      <c r="G138" s="38">
        <f aca="true" t="shared" si="7" ref="G138:G163">E138*F138</f>
        <v>0</v>
      </c>
      <c r="H138" s="129" t="s">
        <v>205</v>
      </c>
      <c r="N138" s="69"/>
    </row>
    <row r="139" spans="1:14" ht="12.75">
      <c r="A139" s="28"/>
      <c r="B139" s="29"/>
      <c r="C139" s="163" t="s">
        <v>393</v>
      </c>
      <c r="D139" s="36"/>
      <c r="E139" s="37"/>
      <c r="F139" s="172"/>
      <c r="G139" s="38"/>
      <c r="H139" s="129"/>
      <c r="N139" s="69"/>
    </row>
    <row r="140" spans="1:14" ht="12.75">
      <c r="A140" s="28"/>
      <c r="B140" s="29"/>
      <c r="C140" s="163" t="s">
        <v>394</v>
      </c>
      <c r="D140" s="36"/>
      <c r="E140" s="37"/>
      <c r="F140" s="172"/>
      <c r="G140" s="38"/>
      <c r="H140" s="129"/>
      <c r="N140" s="69"/>
    </row>
    <row r="141" spans="1:14" ht="12.75">
      <c r="A141" s="28"/>
      <c r="B141" s="29"/>
      <c r="C141" s="163" t="s">
        <v>395</v>
      </c>
      <c r="D141" s="36"/>
      <c r="E141" s="37"/>
      <c r="F141" s="172"/>
      <c r="G141" s="38"/>
      <c r="H141" s="129"/>
      <c r="N141" s="69"/>
    </row>
    <row r="142" spans="1:8" ht="25.5">
      <c r="A142" s="28">
        <f>A138+1</f>
        <v>45</v>
      </c>
      <c r="B142" s="29"/>
      <c r="C142" s="35" t="s">
        <v>237</v>
      </c>
      <c r="D142" s="36" t="s">
        <v>18</v>
      </c>
      <c r="E142" s="37">
        <f>13.8*2.8-0.955*2.07-0.95*2.11-0.9*1.83+(4*1.2)+13.6*2.8-0.95*2.11-0.9*1.83+(7.7*1.2)</f>
        <v>81.48015</v>
      </c>
      <c r="F142" s="172"/>
      <c r="G142" s="38">
        <f t="shared" si="7"/>
        <v>0</v>
      </c>
      <c r="H142" s="133" t="s">
        <v>205</v>
      </c>
    </row>
    <row r="143" spans="1:8" ht="12.75">
      <c r="A143" s="28"/>
      <c r="B143" s="29"/>
      <c r="C143" s="163" t="s">
        <v>338</v>
      </c>
      <c r="D143" s="36"/>
      <c r="E143" s="37"/>
      <c r="F143" s="172"/>
      <c r="G143" s="38"/>
      <c r="H143" s="133"/>
    </row>
    <row r="144" spans="1:8" ht="12.75">
      <c r="A144" s="28"/>
      <c r="B144" s="29"/>
      <c r="C144" s="163" t="s">
        <v>339</v>
      </c>
      <c r="D144" s="36"/>
      <c r="E144" s="37"/>
      <c r="F144" s="172"/>
      <c r="G144" s="38"/>
      <c r="H144" s="133"/>
    </row>
    <row r="145" spans="1:8" ht="25.5">
      <c r="A145" s="28">
        <f>A142+1</f>
        <v>46</v>
      </c>
      <c r="B145" s="29"/>
      <c r="C145" s="35" t="s">
        <v>337</v>
      </c>
      <c r="D145" s="36" t="s">
        <v>18</v>
      </c>
      <c r="E145" s="37">
        <f>0.6*(1.6+2*0.6)+1.41*2.4</f>
        <v>5.064</v>
      </c>
      <c r="F145" s="172"/>
      <c r="G145" s="38">
        <f t="shared" si="7"/>
        <v>0</v>
      </c>
      <c r="H145" s="133" t="s">
        <v>205</v>
      </c>
    </row>
    <row r="146" spans="1:8" ht="12.75">
      <c r="A146" s="28"/>
      <c r="B146" s="29"/>
      <c r="C146" s="150" t="s">
        <v>340</v>
      </c>
      <c r="D146" s="36"/>
      <c r="E146" s="37"/>
      <c r="F146" s="172"/>
      <c r="G146" s="38"/>
      <c r="H146" s="133"/>
    </row>
    <row r="147" spans="1:8" ht="25.5">
      <c r="A147" s="28">
        <f>A145+1</f>
        <v>47</v>
      </c>
      <c r="B147" s="29" t="s">
        <v>293</v>
      </c>
      <c r="C147" s="35" t="s">
        <v>266</v>
      </c>
      <c r="D147" s="36" t="s">
        <v>18</v>
      </c>
      <c r="E147" s="37">
        <f>E148</f>
        <v>18.232</v>
      </c>
      <c r="F147" s="172"/>
      <c r="G147" s="38">
        <f t="shared" si="7"/>
        <v>0</v>
      </c>
      <c r="H147" s="133" t="s">
        <v>205</v>
      </c>
    </row>
    <row r="148" spans="1:8" ht="25.5">
      <c r="A148" s="28">
        <f>A147+1</f>
        <v>48</v>
      </c>
      <c r="B148" s="29" t="s">
        <v>233</v>
      </c>
      <c r="C148" s="35" t="s">
        <v>191</v>
      </c>
      <c r="D148" s="36" t="s">
        <v>18</v>
      </c>
      <c r="E148" s="37">
        <f>7.58*2.4-0.8*2.05+0.6*(1.6+2*0.6)</f>
        <v>18.232</v>
      </c>
      <c r="F148" s="172"/>
      <c r="G148" s="38">
        <f t="shared" si="7"/>
        <v>0</v>
      </c>
      <c r="H148" s="133" t="s">
        <v>205</v>
      </c>
    </row>
    <row r="149" spans="1:8" ht="12.75">
      <c r="A149" s="28">
        <f aca="true" t="shared" si="8" ref="A149:A163">A148+1</f>
        <v>49</v>
      </c>
      <c r="B149" s="75" t="s">
        <v>234</v>
      </c>
      <c r="C149" s="76" t="s">
        <v>179</v>
      </c>
      <c r="D149" s="77" t="s">
        <v>18</v>
      </c>
      <c r="E149" s="78">
        <f>(7.58*2-0.8*1.65)*1.1</f>
        <v>15.224</v>
      </c>
      <c r="F149" s="173"/>
      <c r="G149" s="79">
        <f t="shared" si="7"/>
        <v>0</v>
      </c>
      <c r="H149" s="133" t="s">
        <v>205</v>
      </c>
    </row>
    <row r="150" spans="1:8" ht="25.5">
      <c r="A150" s="28">
        <f t="shared" si="8"/>
        <v>50</v>
      </c>
      <c r="B150" s="75" t="s">
        <v>235</v>
      </c>
      <c r="C150" s="76" t="s">
        <v>238</v>
      </c>
      <c r="D150" s="77" t="s">
        <v>18</v>
      </c>
      <c r="E150" s="78">
        <f>(7.58*0.4-0.8*0.4+0.6*(1.6+2*0.6))*1.1</f>
        <v>4.8312</v>
      </c>
      <c r="F150" s="173"/>
      <c r="G150" s="79">
        <f t="shared" si="7"/>
        <v>0</v>
      </c>
      <c r="H150" s="133" t="s">
        <v>205</v>
      </c>
    </row>
    <row r="151" spans="1:8" ht="12.75">
      <c r="A151" s="28">
        <f t="shared" si="8"/>
        <v>51</v>
      </c>
      <c r="B151" s="75" t="s">
        <v>236</v>
      </c>
      <c r="C151" s="76" t="s">
        <v>92</v>
      </c>
      <c r="D151" s="77" t="s">
        <v>21</v>
      </c>
      <c r="E151" s="78">
        <f>(2*0.6)*1.1</f>
        <v>1.32</v>
      </c>
      <c r="F151" s="173"/>
      <c r="G151" s="79">
        <f t="shared" si="7"/>
        <v>0</v>
      </c>
      <c r="H151" s="133" t="s">
        <v>205</v>
      </c>
    </row>
    <row r="152" spans="1:8" ht="12.75">
      <c r="A152" s="28">
        <f>A151+1</f>
        <v>52</v>
      </c>
      <c r="B152" s="29" t="s">
        <v>242</v>
      </c>
      <c r="C152" s="35" t="s">
        <v>58</v>
      </c>
      <c r="D152" s="36" t="s">
        <v>20</v>
      </c>
      <c r="E152" s="37">
        <v>1</v>
      </c>
      <c r="F152" s="172"/>
      <c r="G152" s="38">
        <f t="shared" si="7"/>
        <v>0</v>
      </c>
      <c r="H152" s="133" t="s">
        <v>214</v>
      </c>
    </row>
    <row r="153" spans="1:8" ht="38.25">
      <c r="A153" s="28">
        <f t="shared" si="8"/>
        <v>53</v>
      </c>
      <c r="B153" s="75" t="s">
        <v>242</v>
      </c>
      <c r="C153" s="76" t="s">
        <v>254</v>
      </c>
      <c r="D153" s="77" t="s">
        <v>20</v>
      </c>
      <c r="E153" s="78">
        <v>1</v>
      </c>
      <c r="F153" s="173"/>
      <c r="G153" s="79">
        <f t="shared" si="7"/>
        <v>0</v>
      </c>
      <c r="H153" s="133" t="s">
        <v>214</v>
      </c>
    </row>
    <row r="154" spans="1:8" ht="25.5">
      <c r="A154" s="28">
        <f t="shared" si="8"/>
        <v>54</v>
      </c>
      <c r="B154" s="29" t="s">
        <v>233</v>
      </c>
      <c r="C154" s="35" t="s">
        <v>66</v>
      </c>
      <c r="D154" s="36" t="s">
        <v>18</v>
      </c>
      <c r="E154" s="37">
        <f>2*2.2</f>
        <v>4.4</v>
      </c>
      <c r="F154" s="172"/>
      <c r="G154" s="38">
        <f t="shared" si="7"/>
        <v>0</v>
      </c>
      <c r="H154" s="133" t="s">
        <v>205</v>
      </c>
    </row>
    <row r="155" spans="1:8" ht="12.75">
      <c r="A155" s="28">
        <f t="shared" si="8"/>
        <v>55</v>
      </c>
      <c r="B155" s="75" t="s">
        <v>236</v>
      </c>
      <c r="C155" s="76" t="s">
        <v>71</v>
      </c>
      <c r="D155" s="77" t="s">
        <v>32</v>
      </c>
      <c r="E155" s="78">
        <f>+E154*1.5</f>
        <v>6.6000000000000005</v>
      </c>
      <c r="F155" s="173"/>
      <c r="G155" s="79">
        <f t="shared" si="7"/>
        <v>0</v>
      </c>
      <c r="H155" s="133" t="s">
        <v>205</v>
      </c>
    </row>
    <row r="156" spans="1:8" ht="25.5">
      <c r="A156" s="28">
        <f t="shared" si="8"/>
        <v>56</v>
      </c>
      <c r="B156" s="75" t="s">
        <v>236</v>
      </c>
      <c r="C156" s="76" t="s">
        <v>228</v>
      </c>
      <c r="D156" s="77" t="s">
        <v>21</v>
      </c>
      <c r="E156" s="78">
        <f>1*2.2</f>
        <v>2.2</v>
      </c>
      <c r="F156" s="173"/>
      <c r="G156" s="79">
        <f t="shared" si="7"/>
        <v>0</v>
      </c>
      <c r="H156" s="133" t="s">
        <v>205</v>
      </c>
    </row>
    <row r="157" spans="1:8" ht="25.5">
      <c r="A157" s="28">
        <f t="shared" si="8"/>
        <v>57</v>
      </c>
      <c r="B157" s="29" t="s">
        <v>243</v>
      </c>
      <c r="C157" s="149" t="s">
        <v>292</v>
      </c>
      <c r="D157" s="36" t="s">
        <v>18</v>
      </c>
      <c r="E157" s="37">
        <f>1.41*1.3</f>
        <v>1.833</v>
      </c>
      <c r="F157" s="172"/>
      <c r="G157" s="38">
        <f>E157*F157</f>
        <v>0</v>
      </c>
      <c r="H157" s="133" t="s">
        <v>205</v>
      </c>
    </row>
    <row r="158" spans="1:8" ht="12.75">
      <c r="A158" s="28"/>
      <c r="B158" s="75"/>
      <c r="C158" s="163" t="s">
        <v>396</v>
      </c>
      <c r="D158" s="77"/>
      <c r="E158" s="78"/>
      <c r="F158" s="173"/>
      <c r="G158" s="79"/>
      <c r="H158" s="133"/>
    </row>
    <row r="159" spans="1:8" ht="38.25">
      <c r="A159" s="28">
        <f>A157+1</f>
        <v>58</v>
      </c>
      <c r="B159" s="29" t="s">
        <v>382</v>
      </c>
      <c r="C159" s="149" t="s">
        <v>383</v>
      </c>
      <c r="D159" s="36" t="s">
        <v>17</v>
      </c>
      <c r="E159" s="37">
        <v>1</v>
      </c>
      <c r="F159" s="172"/>
      <c r="G159" s="38">
        <f>E159*F159</f>
        <v>0</v>
      </c>
      <c r="H159" s="133" t="s">
        <v>205</v>
      </c>
    </row>
    <row r="160" spans="1:14" ht="12.75">
      <c r="A160" s="28">
        <f>A159+1</f>
        <v>59</v>
      </c>
      <c r="B160" s="29"/>
      <c r="C160" s="35" t="s">
        <v>203</v>
      </c>
      <c r="D160" s="36" t="s">
        <v>18</v>
      </c>
      <c r="E160" s="37">
        <f>+E138+E109+E113</f>
        <v>68.3504</v>
      </c>
      <c r="F160" s="172"/>
      <c r="G160" s="38">
        <f t="shared" si="7"/>
        <v>0</v>
      </c>
      <c r="H160" s="133" t="s">
        <v>205</v>
      </c>
      <c r="N160" s="69"/>
    </row>
    <row r="161" spans="1:14" ht="12.75">
      <c r="A161" s="28">
        <f t="shared" si="8"/>
        <v>60</v>
      </c>
      <c r="B161" s="29"/>
      <c r="C161" s="35" t="s">
        <v>204</v>
      </c>
      <c r="D161" s="36" t="s">
        <v>18</v>
      </c>
      <c r="E161" s="37">
        <f>4+7.7</f>
        <v>11.7</v>
      </c>
      <c r="F161" s="172"/>
      <c r="G161" s="38">
        <f t="shared" si="7"/>
        <v>0</v>
      </c>
      <c r="H161" s="133" t="s">
        <v>205</v>
      </c>
      <c r="N161" s="69"/>
    </row>
    <row r="162" spans="1:14" ht="12.75">
      <c r="A162" s="28">
        <f t="shared" si="8"/>
        <v>61</v>
      </c>
      <c r="B162" s="29"/>
      <c r="C162" s="35" t="s">
        <v>224</v>
      </c>
      <c r="D162" s="36" t="s">
        <v>17</v>
      </c>
      <c r="E162" s="37">
        <v>1</v>
      </c>
      <c r="F162" s="172"/>
      <c r="G162" s="38">
        <f t="shared" si="7"/>
        <v>0</v>
      </c>
      <c r="H162" s="133" t="s">
        <v>205</v>
      </c>
      <c r="N162" s="69"/>
    </row>
    <row r="163" spans="1:8" ht="13.5" thickBot="1">
      <c r="A163" s="28">
        <f t="shared" si="8"/>
        <v>62</v>
      </c>
      <c r="B163" s="29"/>
      <c r="C163" s="74" t="s">
        <v>48</v>
      </c>
      <c r="D163" s="36" t="s">
        <v>26</v>
      </c>
      <c r="E163" s="37">
        <f>+G136+G138+G149+G150+G151+G153+G155+G156+G157+G137+G160+G161+G162+G145+G147</f>
        <v>0</v>
      </c>
      <c r="F163" s="176"/>
      <c r="G163" s="38">
        <f t="shared" si="7"/>
        <v>0</v>
      </c>
      <c r="H163" s="133" t="s">
        <v>205</v>
      </c>
    </row>
    <row r="164" spans="1:8" ht="13.5" thickBot="1">
      <c r="A164" s="28"/>
      <c r="B164" s="29"/>
      <c r="C164" s="46" t="s">
        <v>19</v>
      </c>
      <c r="D164" s="47"/>
      <c r="E164" s="48"/>
      <c r="F164" s="48"/>
      <c r="G164" s="45">
        <f>SUBTOTAL(9,G136:G163)</f>
        <v>0</v>
      </c>
      <c r="H164" s="133"/>
    </row>
    <row r="165" spans="1:8" ht="12.75">
      <c r="A165" s="28"/>
      <c r="B165" s="29"/>
      <c r="C165" s="13"/>
      <c r="D165" s="14"/>
      <c r="E165" s="20"/>
      <c r="F165" s="20"/>
      <c r="G165" s="15"/>
      <c r="H165" s="133"/>
    </row>
    <row r="166" spans="1:8" ht="16.5">
      <c r="A166" s="28"/>
      <c r="B166" s="70" t="s">
        <v>40</v>
      </c>
      <c r="C166" s="84" t="s">
        <v>59</v>
      </c>
      <c r="D166" s="84"/>
      <c r="E166" s="84"/>
      <c r="F166" s="84"/>
      <c r="G166" s="84"/>
      <c r="H166" s="133"/>
    </row>
    <row r="167" spans="1:8" ht="52.5" customHeight="1">
      <c r="A167" s="28"/>
      <c r="B167" s="63"/>
      <c r="C167" s="184" t="s">
        <v>124</v>
      </c>
      <c r="D167" s="184"/>
      <c r="E167" s="184"/>
      <c r="F167" s="184"/>
      <c r="G167" s="184"/>
      <c r="H167" s="133"/>
    </row>
    <row r="168" spans="1:8" ht="12.75">
      <c r="A168" s="28">
        <f>A163+1</f>
        <v>63</v>
      </c>
      <c r="B168" s="29" t="s">
        <v>29</v>
      </c>
      <c r="C168" s="94" t="s">
        <v>76</v>
      </c>
      <c r="D168" s="36" t="s">
        <v>21</v>
      </c>
      <c r="E168" s="37">
        <f>2.3+1.9+1.6+2.5</f>
        <v>8.299999999999999</v>
      </c>
      <c r="F168" s="172"/>
      <c r="G168" s="38">
        <f aca="true" t="shared" si="9" ref="G168:G185">E168*F168</f>
        <v>0</v>
      </c>
      <c r="H168" s="133" t="s">
        <v>205</v>
      </c>
    </row>
    <row r="169" spans="1:8" ht="12.75">
      <c r="A169" s="28">
        <f>A168+1</f>
        <v>64</v>
      </c>
      <c r="B169" s="29" t="s">
        <v>29</v>
      </c>
      <c r="C169" s="94" t="s">
        <v>77</v>
      </c>
      <c r="D169" s="36" t="s">
        <v>21</v>
      </c>
      <c r="E169" s="37">
        <f>1.8+3.4+1</f>
        <v>6.2</v>
      </c>
      <c r="F169" s="172"/>
      <c r="G169" s="38">
        <f t="shared" si="9"/>
        <v>0</v>
      </c>
      <c r="H169" s="133" t="s">
        <v>205</v>
      </c>
    </row>
    <row r="170" spans="1:8" ht="12.75">
      <c r="A170" s="28">
        <f>A169+1</f>
        <v>65</v>
      </c>
      <c r="B170" s="29" t="s">
        <v>29</v>
      </c>
      <c r="C170" s="94" t="s">
        <v>88</v>
      </c>
      <c r="D170" s="36" t="s">
        <v>20</v>
      </c>
      <c r="E170" s="37">
        <v>1</v>
      </c>
      <c r="F170" s="172"/>
      <c r="G170" s="38">
        <f t="shared" si="9"/>
        <v>0</v>
      </c>
      <c r="H170" s="133" t="s">
        <v>205</v>
      </c>
    </row>
    <row r="171" spans="1:8" ht="12.75">
      <c r="A171" s="28">
        <f>A170+1</f>
        <v>66</v>
      </c>
      <c r="B171" s="29" t="s">
        <v>29</v>
      </c>
      <c r="C171" s="94" t="s">
        <v>78</v>
      </c>
      <c r="D171" s="36" t="s">
        <v>20</v>
      </c>
      <c r="E171" s="37">
        <v>5</v>
      </c>
      <c r="F171" s="172"/>
      <c r="G171" s="38">
        <f t="shared" si="9"/>
        <v>0</v>
      </c>
      <c r="H171" s="133" t="s">
        <v>205</v>
      </c>
    </row>
    <row r="172" spans="1:8" ht="12.75">
      <c r="A172" s="28">
        <f>A171+1</f>
        <v>67</v>
      </c>
      <c r="B172" s="29" t="s">
        <v>29</v>
      </c>
      <c r="C172" s="74" t="s">
        <v>195</v>
      </c>
      <c r="D172" s="36" t="s">
        <v>20</v>
      </c>
      <c r="E172" s="37">
        <v>5</v>
      </c>
      <c r="F172" s="172"/>
      <c r="G172" s="38">
        <f t="shared" si="9"/>
        <v>0</v>
      </c>
      <c r="H172" s="133" t="s">
        <v>205</v>
      </c>
    </row>
    <row r="173" spans="1:8" ht="12.75">
      <c r="A173" s="28">
        <f aca="true" t="shared" si="10" ref="A173:A178">A172+1</f>
        <v>68</v>
      </c>
      <c r="B173" s="29" t="s">
        <v>29</v>
      </c>
      <c r="C173" s="74" t="s">
        <v>201</v>
      </c>
      <c r="D173" s="36" t="s">
        <v>20</v>
      </c>
      <c r="E173" s="37">
        <v>2</v>
      </c>
      <c r="F173" s="172"/>
      <c r="G173" s="38">
        <f>E173*F173</f>
        <v>0</v>
      </c>
      <c r="H173" s="133" t="s">
        <v>205</v>
      </c>
    </row>
    <row r="174" spans="1:8" ht="12.75">
      <c r="A174" s="28">
        <f t="shared" si="10"/>
        <v>69</v>
      </c>
      <c r="B174" s="29" t="s">
        <v>29</v>
      </c>
      <c r="C174" s="74" t="s">
        <v>196</v>
      </c>
      <c r="D174" s="36" t="s">
        <v>20</v>
      </c>
      <c r="E174" s="37">
        <v>1</v>
      </c>
      <c r="F174" s="172"/>
      <c r="G174" s="38">
        <f t="shared" si="9"/>
        <v>0</v>
      </c>
      <c r="H174" s="133" t="s">
        <v>205</v>
      </c>
    </row>
    <row r="175" spans="1:8" ht="12.75">
      <c r="A175" s="28">
        <f t="shared" si="10"/>
        <v>70</v>
      </c>
      <c r="B175" s="29" t="s">
        <v>29</v>
      </c>
      <c r="C175" s="74" t="s">
        <v>200</v>
      </c>
      <c r="D175" s="36" t="s">
        <v>20</v>
      </c>
      <c r="E175" s="37">
        <v>1</v>
      </c>
      <c r="F175" s="172"/>
      <c r="G175" s="38">
        <f>E175*F175</f>
        <v>0</v>
      </c>
      <c r="H175" s="133" t="s">
        <v>205</v>
      </c>
    </row>
    <row r="176" spans="1:8" ht="12.75">
      <c r="A176" s="28">
        <f t="shared" si="10"/>
        <v>71</v>
      </c>
      <c r="B176" s="29" t="s">
        <v>29</v>
      </c>
      <c r="C176" s="74" t="s">
        <v>199</v>
      </c>
      <c r="D176" s="36" t="s">
        <v>20</v>
      </c>
      <c r="E176" s="37">
        <v>1</v>
      </c>
      <c r="F176" s="172"/>
      <c r="G176" s="38">
        <f>E176*F176</f>
        <v>0</v>
      </c>
      <c r="H176" s="133" t="s">
        <v>205</v>
      </c>
    </row>
    <row r="177" spans="1:8" ht="12.75">
      <c r="A177" s="28">
        <f t="shared" si="10"/>
        <v>72</v>
      </c>
      <c r="B177" s="29" t="s">
        <v>29</v>
      </c>
      <c r="C177" s="74" t="s">
        <v>342</v>
      </c>
      <c r="D177" s="36" t="s">
        <v>20</v>
      </c>
      <c r="E177" s="37">
        <v>2</v>
      </c>
      <c r="F177" s="172"/>
      <c r="G177" s="38">
        <f t="shared" si="9"/>
        <v>0</v>
      </c>
      <c r="H177" s="133" t="s">
        <v>205</v>
      </c>
    </row>
    <row r="178" spans="1:8" ht="12.75">
      <c r="A178" s="28">
        <f t="shared" si="10"/>
        <v>73</v>
      </c>
      <c r="B178" s="29" t="s">
        <v>29</v>
      </c>
      <c r="C178" s="74" t="s">
        <v>344</v>
      </c>
      <c r="D178" s="36" t="s">
        <v>20</v>
      </c>
      <c r="E178" s="37">
        <v>1</v>
      </c>
      <c r="F178" s="172"/>
      <c r="G178" s="38">
        <f t="shared" si="9"/>
        <v>0</v>
      </c>
      <c r="H178" s="133" t="s">
        <v>214</v>
      </c>
    </row>
    <row r="179" spans="1:8" ht="12.75">
      <c r="A179" s="28">
        <f aca="true" t="shared" si="11" ref="A179:A185">A178+1</f>
        <v>74</v>
      </c>
      <c r="B179" s="29" t="s">
        <v>29</v>
      </c>
      <c r="C179" s="74" t="s">
        <v>343</v>
      </c>
      <c r="D179" s="36" t="s">
        <v>20</v>
      </c>
      <c r="E179" s="37">
        <v>1</v>
      </c>
      <c r="F179" s="172"/>
      <c r="G179" s="38">
        <f t="shared" si="9"/>
        <v>0</v>
      </c>
      <c r="H179" s="133" t="s">
        <v>214</v>
      </c>
    </row>
    <row r="180" spans="1:8" ht="38.25">
      <c r="A180" s="28">
        <f t="shared" si="11"/>
        <v>75</v>
      </c>
      <c r="B180" s="29"/>
      <c r="C180" s="94" t="s">
        <v>226</v>
      </c>
      <c r="D180" s="36" t="s">
        <v>20</v>
      </c>
      <c r="E180" s="37">
        <v>1</v>
      </c>
      <c r="F180" s="172"/>
      <c r="G180" s="38">
        <f t="shared" si="9"/>
        <v>0</v>
      </c>
      <c r="H180" s="133" t="s">
        <v>205</v>
      </c>
    </row>
    <row r="181" spans="1:8" ht="12.75">
      <c r="A181" s="28">
        <f t="shared" si="11"/>
        <v>76</v>
      </c>
      <c r="B181" s="29" t="s">
        <v>30</v>
      </c>
      <c r="C181" s="94" t="s">
        <v>79</v>
      </c>
      <c r="D181" s="36" t="s">
        <v>17</v>
      </c>
      <c r="E181" s="37">
        <v>1</v>
      </c>
      <c r="F181" s="172"/>
      <c r="G181" s="38">
        <f t="shared" si="9"/>
        <v>0</v>
      </c>
      <c r="H181" s="133" t="s">
        <v>205</v>
      </c>
    </row>
    <row r="182" spans="1:8" ht="12.75">
      <c r="A182" s="28">
        <f t="shared" si="11"/>
        <v>77</v>
      </c>
      <c r="B182" s="29" t="s">
        <v>30</v>
      </c>
      <c r="C182" s="35" t="s">
        <v>227</v>
      </c>
      <c r="D182" s="36" t="s">
        <v>17</v>
      </c>
      <c r="E182" s="37">
        <v>1</v>
      </c>
      <c r="F182" s="172"/>
      <c r="G182" s="38">
        <f t="shared" si="9"/>
        <v>0</v>
      </c>
      <c r="H182" s="133" t="s">
        <v>205</v>
      </c>
    </row>
    <row r="183" spans="1:8" ht="12.75">
      <c r="A183" s="28">
        <f t="shared" si="11"/>
        <v>78</v>
      </c>
      <c r="B183" s="29" t="s">
        <v>30</v>
      </c>
      <c r="C183" s="35" t="s">
        <v>120</v>
      </c>
      <c r="D183" s="36" t="s">
        <v>26</v>
      </c>
      <c r="E183" s="37">
        <f>SUM(G168:G179)</f>
        <v>0</v>
      </c>
      <c r="F183" s="176"/>
      <c r="G183" s="38">
        <f t="shared" si="9"/>
        <v>0</v>
      </c>
      <c r="H183" s="133" t="s">
        <v>205</v>
      </c>
    </row>
    <row r="184" spans="1:8" ht="12.75">
      <c r="A184" s="28">
        <f t="shared" si="11"/>
        <v>79</v>
      </c>
      <c r="B184" s="29" t="s">
        <v>30</v>
      </c>
      <c r="C184" s="35" t="s">
        <v>121</v>
      </c>
      <c r="D184" s="36" t="s">
        <v>26</v>
      </c>
      <c r="E184" s="37">
        <f>+E183</f>
        <v>0</v>
      </c>
      <c r="F184" s="176"/>
      <c r="G184" s="38">
        <f t="shared" si="9"/>
        <v>0</v>
      </c>
      <c r="H184" s="133" t="s">
        <v>205</v>
      </c>
    </row>
    <row r="185" spans="1:8" ht="13.5" thickBot="1">
      <c r="A185" s="28">
        <f t="shared" si="11"/>
        <v>80</v>
      </c>
      <c r="B185" s="29"/>
      <c r="C185" s="35" t="s">
        <v>45</v>
      </c>
      <c r="D185" s="32" t="s">
        <v>26</v>
      </c>
      <c r="E185" s="37">
        <f>+E184</f>
        <v>0</v>
      </c>
      <c r="F185" s="174"/>
      <c r="G185" s="30">
        <f t="shared" si="9"/>
        <v>0</v>
      </c>
      <c r="H185" s="133" t="s">
        <v>205</v>
      </c>
    </row>
    <row r="186" spans="1:8" ht="13.5" thickBot="1">
      <c r="A186" s="28"/>
      <c r="B186" s="29"/>
      <c r="C186" s="46" t="s">
        <v>19</v>
      </c>
      <c r="D186" s="47"/>
      <c r="E186" s="48"/>
      <c r="F186" s="48"/>
      <c r="G186" s="45">
        <f>SUBTOTAL(9,G168:G185)</f>
        <v>0</v>
      </c>
      <c r="H186" s="133"/>
    </row>
    <row r="187" spans="1:8" ht="12.75">
      <c r="A187" s="28"/>
      <c r="B187" s="29"/>
      <c r="C187" s="13"/>
      <c r="D187" s="14"/>
      <c r="E187" s="20"/>
      <c r="F187" s="20"/>
      <c r="G187" s="15"/>
      <c r="H187" s="133"/>
    </row>
    <row r="188" spans="1:8" ht="16.5">
      <c r="A188" s="28"/>
      <c r="B188" s="70" t="s">
        <v>41</v>
      </c>
      <c r="C188" s="183" t="s">
        <v>60</v>
      </c>
      <c r="D188" s="183"/>
      <c r="E188" s="183"/>
      <c r="F188" s="183"/>
      <c r="G188" s="183"/>
      <c r="H188" s="133"/>
    </row>
    <row r="189" spans="1:8" ht="52.5" customHeight="1">
      <c r="A189" s="28"/>
      <c r="B189" s="63" t="s">
        <v>240</v>
      </c>
      <c r="C189" s="184" t="s">
        <v>89</v>
      </c>
      <c r="D189" s="184"/>
      <c r="E189" s="184"/>
      <c r="F189" s="184"/>
      <c r="G189" s="184"/>
      <c r="H189" s="133"/>
    </row>
    <row r="190" spans="1:8" ht="25.5">
      <c r="A190" s="28">
        <f>A185+1</f>
        <v>81</v>
      </c>
      <c r="B190" s="29"/>
      <c r="C190" s="74" t="s">
        <v>125</v>
      </c>
      <c r="D190" s="36" t="s">
        <v>21</v>
      </c>
      <c r="E190" s="37">
        <f>5.6+6*0.6+4.1+4*0.6</f>
        <v>15.7</v>
      </c>
      <c r="F190" s="172"/>
      <c r="G190" s="38">
        <f aca="true" t="shared" si="12" ref="G190:G200">E190*F190</f>
        <v>0</v>
      </c>
      <c r="H190" s="133" t="s">
        <v>205</v>
      </c>
    </row>
    <row r="191" spans="1:8" ht="25.5">
      <c r="A191" s="28">
        <f>A190+1</f>
        <v>82</v>
      </c>
      <c r="B191" s="29"/>
      <c r="C191" s="74" t="s">
        <v>126</v>
      </c>
      <c r="D191" s="36" t="s">
        <v>21</v>
      </c>
      <c r="E191" s="37">
        <f>2.7+2.5+1.5</f>
        <v>6.7</v>
      </c>
      <c r="F191" s="172"/>
      <c r="G191" s="38">
        <f t="shared" si="12"/>
        <v>0</v>
      </c>
      <c r="H191" s="133" t="s">
        <v>205</v>
      </c>
    </row>
    <row r="192" spans="1:8" ht="12.75">
      <c r="A192" s="28">
        <f aca="true" t="shared" si="13" ref="A192:A200">A191+1</f>
        <v>83</v>
      </c>
      <c r="B192" s="29"/>
      <c r="C192" s="74" t="s">
        <v>187</v>
      </c>
      <c r="D192" s="36" t="s">
        <v>21</v>
      </c>
      <c r="E192" s="37">
        <f>5.6+6*0.6</f>
        <v>9.2</v>
      </c>
      <c r="F192" s="172"/>
      <c r="G192" s="38">
        <f t="shared" si="12"/>
        <v>0</v>
      </c>
      <c r="H192" s="133" t="s">
        <v>205</v>
      </c>
    </row>
    <row r="193" spans="1:8" ht="12.75">
      <c r="A193" s="28">
        <f t="shared" si="13"/>
        <v>84</v>
      </c>
      <c r="B193" s="29"/>
      <c r="C193" s="74" t="s">
        <v>188</v>
      </c>
      <c r="D193" s="36" t="s">
        <v>21</v>
      </c>
      <c r="E193" s="37">
        <f>+E191</f>
        <v>6.7</v>
      </c>
      <c r="F193" s="172"/>
      <c r="G193" s="38">
        <f t="shared" si="12"/>
        <v>0</v>
      </c>
      <c r="H193" s="133" t="s">
        <v>205</v>
      </c>
    </row>
    <row r="194" spans="1:8" ht="12.75">
      <c r="A194" s="28">
        <f t="shared" si="13"/>
        <v>85</v>
      </c>
      <c r="B194" s="29"/>
      <c r="C194" s="74" t="s">
        <v>181</v>
      </c>
      <c r="D194" s="36" t="s">
        <v>21</v>
      </c>
      <c r="E194" s="37">
        <f>4.1+4*0.6</f>
        <v>6.5</v>
      </c>
      <c r="F194" s="172"/>
      <c r="G194" s="38">
        <f t="shared" si="12"/>
        <v>0</v>
      </c>
      <c r="H194" s="133" t="s">
        <v>205</v>
      </c>
    </row>
    <row r="195" spans="1:8" ht="12.75">
      <c r="A195" s="28">
        <f t="shared" si="13"/>
        <v>86</v>
      </c>
      <c r="B195" s="29"/>
      <c r="C195" s="74" t="s">
        <v>82</v>
      </c>
      <c r="D195" s="36" t="s">
        <v>20</v>
      </c>
      <c r="E195" s="37">
        <v>1</v>
      </c>
      <c r="F195" s="172"/>
      <c r="G195" s="38">
        <f t="shared" si="12"/>
        <v>0</v>
      </c>
      <c r="H195" s="133" t="s">
        <v>205</v>
      </c>
    </row>
    <row r="196" spans="1:8" ht="25.5">
      <c r="A196" s="28">
        <f t="shared" si="13"/>
        <v>87</v>
      </c>
      <c r="B196" s="29" t="s">
        <v>106</v>
      </c>
      <c r="C196" s="74" t="s">
        <v>294</v>
      </c>
      <c r="D196" s="36" t="s">
        <v>17</v>
      </c>
      <c r="E196" s="37">
        <v>1</v>
      </c>
      <c r="F196" s="172"/>
      <c r="G196" s="38">
        <f t="shared" si="12"/>
        <v>0</v>
      </c>
      <c r="H196" s="133" t="s">
        <v>205</v>
      </c>
    </row>
    <row r="197" spans="1:8" ht="25.5">
      <c r="A197" s="28">
        <f t="shared" si="13"/>
        <v>88</v>
      </c>
      <c r="B197" s="29" t="s">
        <v>30</v>
      </c>
      <c r="C197" s="74" t="s">
        <v>80</v>
      </c>
      <c r="D197" s="36" t="s">
        <v>21</v>
      </c>
      <c r="E197" s="37">
        <f>+E190+E191</f>
        <v>22.4</v>
      </c>
      <c r="F197" s="172"/>
      <c r="G197" s="38">
        <f t="shared" si="12"/>
        <v>0</v>
      </c>
      <c r="H197" s="133" t="s">
        <v>205</v>
      </c>
    </row>
    <row r="198" spans="1:8" ht="12.75">
      <c r="A198" s="28">
        <f t="shared" si="13"/>
        <v>89</v>
      </c>
      <c r="B198" s="29" t="s">
        <v>30</v>
      </c>
      <c r="C198" s="74" t="s">
        <v>81</v>
      </c>
      <c r="D198" s="36" t="s">
        <v>21</v>
      </c>
      <c r="E198" s="37">
        <f>+E197</f>
        <v>22.4</v>
      </c>
      <c r="F198" s="172"/>
      <c r="G198" s="38">
        <f t="shared" si="12"/>
        <v>0</v>
      </c>
      <c r="H198" s="133" t="s">
        <v>205</v>
      </c>
    </row>
    <row r="199" spans="1:8" ht="12.75">
      <c r="A199" s="28">
        <f t="shared" si="13"/>
        <v>90</v>
      </c>
      <c r="B199" s="29" t="s">
        <v>30</v>
      </c>
      <c r="C199" s="35" t="s">
        <v>180</v>
      </c>
      <c r="D199" s="36" t="s">
        <v>17</v>
      </c>
      <c r="E199" s="37">
        <v>1</v>
      </c>
      <c r="F199" s="172"/>
      <c r="G199" s="38">
        <f t="shared" si="12"/>
        <v>0</v>
      </c>
      <c r="H199" s="133" t="s">
        <v>205</v>
      </c>
    </row>
    <row r="200" spans="1:8" ht="13.5" thickBot="1">
      <c r="A200" s="28">
        <f t="shared" si="13"/>
        <v>91</v>
      </c>
      <c r="B200" s="29"/>
      <c r="C200" s="35" t="s">
        <v>45</v>
      </c>
      <c r="D200" s="32" t="s">
        <v>26</v>
      </c>
      <c r="E200" s="37">
        <f>SUM(G190:G195)</f>
        <v>0</v>
      </c>
      <c r="F200" s="174"/>
      <c r="G200" s="30">
        <f t="shared" si="12"/>
        <v>0</v>
      </c>
      <c r="H200" s="133" t="s">
        <v>205</v>
      </c>
    </row>
    <row r="201" spans="1:8" ht="13.5" thickBot="1">
      <c r="A201" s="28"/>
      <c r="B201" s="29"/>
      <c r="C201" s="46" t="s">
        <v>19</v>
      </c>
      <c r="D201" s="47"/>
      <c r="E201" s="48"/>
      <c r="F201" s="48"/>
      <c r="G201" s="45">
        <f>SUBTOTAL(9,G190:G200)</f>
        <v>0</v>
      </c>
      <c r="H201" s="133"/>
    </row>
    <row r="202" spans="1:8" ht="12.75">
      <c r="A202" s="28"/>
      <c r="B202" s="29"/>
      <c r="C202" s="13"/>
      <c r="D202" s="14"/>
      <c r="E202" s="20"/>
      <c r="F202" s="20"/>
      <c r="G202" s="15"/>
      <c r="H202" s="133"/>
    </row>
    <row r="203" spans="1:8" ht="16.5">
      <c r="A203" s="28"/>
      <c r="B203" s="70" t="s">
        <v>42</v>
      </c>
      <c r="C203" s="183" t="s">
        <v>61</v>
      </c>
      <c r="D203" s="183"/>
      <c r="E203" s="183"/>
      <c r="F203" s="183"/>
      <c r="G203" s="183"/>
      <c r="H203" s="133"/>
    </row>
    <row r="204" spans="1:8" ht="62.25" customHeight="1">
      <c r="A204" s="28"/>
      <c r="B204" s="63"/>
      <c r="C204" s="184" t="s">
        <v>122</v>
      </c>
      <c r="D204" s="184"/>
      <c r="E204" s="184"/>
      <c r="F204" s="184"/>
      <c r="G204" s="184"/>
      <c r="H204" s="133"/>
    </row>
    <row r="205" spans="1:14" ht="25.5">
      <c r="A205" s="28">
        <f>A200+1</f>
        <v>92</v>
      </c>
      <c r="B205" s="29" t="s">
        <v>29</v>
      </c>
      <c r="C205" s="149" t="s">
        <v>374</v>
      </c>
      <c r="D205" s="146" t="s">
        <v>20</v>
      </c>
      <c r="E205" s="147">
        <v>1</v>
      </c>
      <c r="F205" s="172"/>
      <c r="G205" s="148">
        <f aca="true" t="shared" si="14" ref="G205:G211">E205*F205</f>
        <v>0</v>
      </c>
      <c r="H205" s="133" t="s">
        <v>205</v>
      </c>
      <c r="N205" s="69"/>
    </row>
    <row r="206" spans="1:14" ht="25.5">
      <c r="A206" s="28">
        <f>A205+1</f>
        <v>93</v>
      </c>
      <c r="B206" s="29" t="s">
        <v>29</v>
      </c>
      <c r="C206" s="149" t="s">
        <v>375</v>
      </c>
      <c r="D206" s="146" t="s">
        <v>20</v>
      </c>
      <c r="E206" s="147">
        <v>1</v>
      </c>
      <c r="F206" s="172"/>
      <c r="G206" s="148">
        <f t="shared" si="14"/>
        <v>0</v>
      </c>
      <c r="H206" s="133" t="s">
        <v>205</v>
      </c>
      <c r="N206" s="69"/>
    </row>
    <row r="207" spans="1:14" ht="12.75">
      <c r="A207" s="28">
        <f>A206+1</f>
        <v>94</v>
      </c>
      <c r="B207" s="29" t="s">
        <v>29</v>
      </c>
      <c r="C207" s="149" t="s">
        <v>376</v>
      </c>
      <c r="D207" s="146" t="s">
        <v>20</v>
      </c>
      <c r="E207" s="147">
        <v>1</v>
      </c>
      <c r="F207" s="172"/>
      <c r="G207" s="148">
        <f t="shared" si="14"/>
        <v>0</v>
      </c>
      <c r="H207" s="133" t="s">
        <v>205</v>
      </c>
      <c r="N207" s="69"/>
    </row>
    <row r="208" spans="1:14" ht="25.5">
      <c r="A208" s="28">
        <f>A207+1</f>
        <v>95</v>
      </c>
      <c r="B208" s="29" t="s">
        <v>29</v>
      </c>
      <c r="C208" s="35" t="s">
        <v>221</v>
      </c>
      <c r="D208" s="36" t="s">
        <v>20</v>
      </c>
      <c r="E208" s="37">
        <v>1</v>
      </c>
      <c r="F208" s="172"/>
      <c r="G208" s="38">
        <f t="shared" si="14"/>
        <v>0</v>
      </c>
      <c r="H208" s="133" t="s">
        <v>205</v>
      </c>
      <c r="N208" s="69"/>
    </row>
    <row r="209" spans="1:14" ht="12.75">
      <c r="A209" s="28">
        <f aca="true" t="shared" si="15" ref="A209:A227">A208+1</f>
        <v>96</v>
      </c>
      <c r="B209" s="29" t="s">
        <v>29</v>
      </c>
      <c r="C209" s="35" t="s">
        <v>109</v>
      </c>
      <c r="D209" s="36" t="s">
        <v>20</v>
      </c>
      <c r="E209" s="37">
        <v>1</v>
      </c>
      <c r="F209" s="172"/>
      <c r="G209" s="38">
        <f t="shared" si="14"/>
        <v>0</v>
      </c>
      <c r="H209" s="133" t="s">
        <v>205</v>
      </c>
      <c r="N209" s="69"/>
    </row>
    <row r="210" spans="1:8" ht="12.75">
      <c r="A210" s="28">
        <f t="shared" si="15"/>
        <v>97</v>
      </c>
      <c r="B210" s="29" t="s">
        <v>29</v>
      </c>
      <c r="C210" s="35" t="s">
        <v>75</v>
      </c>
      <c r="D210" s="36" t="s">
        <v>20</v>
      </c>
      <c r="E210" s="37">
        <v>1</v>
      </c>
      <c r="F210" s="172"/>
      <c r="G210" s="38">
        <f t="shared" si="14"/>
        <v>0</v>
      </c>
      <c r="H210" s="133" t="s">
        <v>205</v>
      </c>
    </row>
    <row r="211" spans="1:14" ht="25.5">
      <c r="A211" s="28">
        <f t="shared" si="15"/>
        <v>98</v>
      </c>
      <c r="B211" s="29" t="s">
        <v>29</v>
      </c>
      <c r="C211" s="35" t="s">
        <v>345</v>
      </c>
      <c r="D211" s="36" t="s">
        <v>20</v>
      </c>
      <c r="E211" s="37">
        <v>1</v>
      </c>
      <c r="F211" s="172"/>
      <c r="G211" s="38">
        <f t="shared" si="14"/>
        <v>0</v>
      </c>
      <c r="H211" s="133" t="s">
        <v>205</v>
      </c>
      <c r="N211" s="69"/>
    </row>
    <row r="212" spans="1:14" ht="25.5">
      <c r="A212" s="28">
        <f t="shared" si="15"/>
        <v>99</v>
      </c>
      <c r="B212" s="29" t="s">
        <v>29</v>
      </c>
      <c r="C212" s="35" t="s">
        <v>346</v>
      </c>
      <c r="D212" s="36" t="s">
        <v>20</v>
      </c>
      <c r="E212" s="37">
        <v>1</v>
      </c>
      <c r="F212" s="172"/>
      <c r="G212" s="38">
        <f aca="true" t="shared" si="16" ref="G212:G217">E212*F212</f>
        <v>0</v>
      </c>
      <c r="H212" s="133" t="s">
        <v>205</v>
      </c>
      <c r="N212" s="69"/>
    </row>
    <row r="213" spans="1:14" ht="25.5">
      <c r="A213" s="28">
        <f t="shared" si="15"/>
        <v>100</v>
      </c>
      <c r="B213" s="29" t="s">
        <v>29</v>
      </c>
      <c r="C213" s="35" t="s">
        <v>110</v>
      </c>
      <c r="D213" s="36" t="s">
        <v>20</v>
      </c>
      <c r="E213" s="37">
        <v>1</v>
      </c>
      <c r="F213" s="172"/>
      <c r="G213" s="38">
        <f t="shared" si="16"/>
        <v>0</v>
      </c>
      <c r="H213" s="133" t="s">
        <v>205</v>
      </c>
      <c r="N213" s="69"/>
    </row>
    <row r="214" spans="1:14" ht="25.5">
      <c r="A214" s="28">
        <f t="shared" si="15"/>
        <v>101</v>
      </c>
      <c r="B214" s="29" t="s">
        <v>29</v>
      </c>
      <c r="C214" s="35" t="s">
        <v>0</v>
      </c>
      <c r="D214" s="36" t="s">
        <v>20</v>
      </c>
      <c r="E214" s="37">
        <v>1</v>
      </c>
      <c r="F214" s="172"/>
      <c r="G214" s="38">
        <f t="shared" si="16"/>
        <v>0</v>
      </c>
      <c r="H214" s="133" t="s">
        <v>205</v>
      </c>
      <c r="N214" s="69"/>
    </row>
    <row r="215" spans="1:14" ht="25.5">
      <c r="A215" s="28">
        <f t="shared" si="15"/>
        <v>102</v>
      </c>
      <c r="B215" s="29" t="s">
        <v>29</v>
      </c>
      <c r="C215" s="35" t="s">
        <v>186</v>
      </c>
      <c r="D215" s="36" t="s">
        <v>20</v>
      </c>
      <c r="E215" s="37">
        <v>1</v>
      </c>
      <c r="F215" s="172"/>
      <c r="G215" s="38">
        <f>E215*F215</f>
        <v>0</v>
      </c>
      <c r="H215" s="133" t="s">
        <v>205</v>
      </c>
      <c r="N215" s="69"/>
    </row>
    <row r="216" spans="1:14" ht="12.75">
      <c r="A216" s="28">
        <f t="shared" si="15"/>
        <v>103</v>
      </c>
      <c r="B216" s="29" t="s">
        <v>29</v>
      </c>
      <c r="C216" s="35" t="s">
        <v>111</v>
      </c>
      <c r="D216" s="36" t="s">
        <v>20</v>
      </c>
      <c r="E216" s="37">
        <v>1</v>
      </c>
      <c r="F216" s="172"/>
      <c r="G216" s="38">
        <f>E216*F216</f>
        <v>0</v>
      </c>
      <c r="H216" s="133" t="s">
        <v>205</v>
      </c>
      <c r="N216" s="69"/>
    </row>
    <row r="217" spans="1:14" ht="25.5">
      <c r="A217" s="28">
        <f t="shared" si="15"/>
        <v>104</v>
      </c>
      <c r="B217" s="29" t="s">
        <v>29</v>
      </c>
      <c r="C217" s="35" t="s">
        <v>112</v>
      </c>
      <c r="D217" s="36" t="s">
        <v>20</v>
      </c>
      <c r="E217" s="37">
        <v>1</v>
      </c>
      <c r="F217" s="172"/>
      <c r="G217" s="38">
        <f t="shared" si="16"/>
        <v>0</v>
      </c>
      <c r="H217" s="133" t="s">
        <v>205</v>
      </c>
      <c r="N217" s="69"/>
    </row>
    <row r="218" spans="1:8" ht="12.75">
      <c r="A218" s="28">
        <f t="shared" si="15"/>
        <v>105</v>
      </c>
      <c r="B218" s="29" t="s">
        <v>29</v>
      </c>
      <c r="C218" s="35" t="s">
        <v>123</v>
      </c>
      <c r="D218" s="36" t="s">
        <v>20</v>
      </c>
      <c r="E218" s="37">
        <v>5</v>
      </c>
      <c r="F218" s="172"/>
      <c r="G218" s="38">
        <f aca="true" t="shared" si="17" ref="G218:G227">E218*F218</f>
        <v>0</v>
      </c>
      <c r="H218" s="133" t="s">
        <v>205</v>
      </c>
    </row>
    <row r="219" spans="1:8" ht="12.75">
      <c r="A219" s="28">
        <f t="shared" si="15"/>
        <v>106</v>
      </c>
      <c r="B219" s="29" t="s">
        <v>29</v>
      </c>
      <c r="C219" s="35" t="s">
        <v>182</v>
      </c>
      <c r="D219" s="36" t="s">
        <v>20</v>
      </c>
      <c r="E219" s="37">
        <v>1</v>
      </c>
      <c r="F219" s="172"/>
      <c r="G219" s="38">
        <f t="shared" si="17"/>
        <v>0</v>
      </c>
      <c r="H219" s="133" t="s">
        <v>214</v>
      </c>
    </row>
    <row r="220" spans="1:8" ht="25.5">
      <c r="A220" s="28">
        <f t="shared" si="15"/>
        <v>107</v>
      </c>
      <c r="B220" s="29" t="s">
        <v>29</v>
      </c>
      <c r="C220" s="35" t="s">
        <v>347</v>
      </c>
      <c r="D220" s="36" t="s">
        <v>20</v>
      </c>
      <c r="E220" s="37">
        <v>1</v>
      </c>
      <c r="F220" s="172"/>
      <c r="G220" s="38">
        <f t="shared" si="17"/>
        <v>0</v>
      </c>
      <c r="H220" s="133" t="s">
        <v>205</v>
      </c>
    </row>
    <row r="221" spans="1:8" ht="12.75">
      <c r="A221" s="28">
        <f t="shared" si="15"/>
        <v>108</v>
      </c>
      <c r="B221" s="29" t="s">
        <v>29</v>
      </c>
      <c r="C221" s="35" t="s">
        <v>257</v>
      </c>
      <c r="D221" s="36" t="s">
        <v>20</v>
      </c>
      <c r="E221" s="37">
        <v>1</v>
      </c>
      <c r="F221" s="172"/>
      <c r="G221" s="38">
        <f t="shared" si="17"/>
        <v>0</v>
      </c>
      <c r="H221" s="133" t="s">
        <v>205</v>
      </c>
    </row>
    <row r="222" spans="1:8" ht="12.75">
      <c r="A222" s="28">
        <f t="shared" si="15"/>
        <v>109</v>
      </c>
      <c r="B222" s="29" t="s">
        <v>29</v>
      </c>
      <c r="C222" s="35" t="s">
        <v>255</v>
      </c>
      <c r="D222" s="36" t="s">
        <v>20</v>
      </c>
      <c r="E222" s="37">
        <v>1</v>
      </c>
      <c r="F222" s="172"/>
      <c r="G222" s="38">
        <f t="shared" si="17"/>
        <v>0</v>
      </c>
      <c r="H222" s="133" t="s">
        <v>205</v>
      </c>
    </row>
    <row r="223" spans="1:8" ht="12.75">
      <c r="A223" s="28">
        <f t="shared" si="15"/>
        <v>110</v>
      </c>
      <c r="B223" s="29" t="s">
        <v>29</v>
      </c>
      <c r="C223" s="35" t="s">
        <v>256</v>
      </c>
      <c r="D223" s="36" t="s">
        <v>20</v>
      </c>
      <c r="E223" s="37">
        <v>1</v>
      </c>
      <c r="F223" s="172"/>
      <c r="G223" s="38">
        <f t="shared" si="17"/>
        <v>0</v>
      </c>
      <c r="H223" s="133" t="s">
        <v>205</v>
      </c>
    </row>
    <row r="224" spans="1:8" ht="12.75">
      <c r="A224" s="28">
        <f t="shared" si="15"/>
        <v>111</v>
      </c>
      <c r="B224" s="29" t="s">
        <v>29</v>
      </c>
      <c r="C224" s="35" t="s">
        <v>256</v>
      </c>
      <c r="D224" s="36" t="s">
        <v>20</v>
      </c>
      <c r="E224" s="37">
        <v>1</v>
      </c>
      <c r="F224" s="172"/>
      <c r="G224" s="38">
        <f t="shared" si="17"/>
        <v>0</v>
      </c>
      <c r="H224" s="133" t="s">
        <v>205</v>
      </c>
    </row>
    <row r="225" spans="1:8" ht="12.75">
      <c r="A225" s="28">
        <f t="shared" si="15"/>
        <v>112</v>
      </c>
      <c r="B225" s="29" t="s">
        <v>30</v>
      </c>
      <c r="C225" s="35" t="s">
        <v>120</v>
      </c>
      <c r="D225" s="36" t="s">
        <v>26</v>
      </c>
      <c r="E225" s="37">
        <f>SUM(G205:G224)</f>
        <v>0</v>
      </c>
      <c r="F225" s="176"/>
      <c r="G225" s="38">
        <f t="shared" si="17"/>
        <v>0</v>
      </c>
      <c r="H225" s="133" t="s">
        <v>205</v>
      </c>
    </row>
    <row r="226" spans="1:8" ht="12.75">
      <c r="A226" s="28">
        <f t="shared" si="15"/>
        <v>113</v>
      </c>
      <c r="B226" s="29" t="s">
        <v>30</v>
      </c>
      <c r="C226" s="35" t="s">
        <v>121</v>
      </c>
      <c r="D226" s="36" t="s">
        <v>26</v>
      </c>
      <c r="E226" s="37">
        <f>+E225</f>
        <v>0</v>
      </c>
      <c r="F226" s="176"/>
      <c r="G226" s="38">
        <f t="shared" si="17"/>
        <v>0</v>
      </c>
      <c r="H226" s="133" t="s">
        <v>205</v>
      </c>
    </row>
    <row r="227" spans="1:8" ht="12.75" customHeight="1" thickBot="1">
      <c r="A227" s="28">
        <f t="shared" si="15"/>
        <v>114</v>
      </c>
      <c r="B227" s="29"/>
      <c r="C227" s="35" t="s">
        <v>45</v>
      </c>
      <c r="D227" s="32" t="s">
        <v>26</v>
      </c>
      <c r="E227" s="37">
        <f>+E226</f>
        <v>0</v>
      </c>
      <c r="F227" s="174"/>
      <c r="G227" s="30">
        <f t="shared" si="17"/>
        <v>0</v>
      </c>
      <c r="H227" s="133" t="s">
        <v>205</v>
      </c>
    </row>
    <row r="228" spans="1:8" ht="13.5" thickBot="1">
      <c r="A228" s="28"/>
      <c r="B228" s="29"/>
      <c r="C228" s="46" t="s">
        <v>19</v>
      </c>
      <c r="D228" s="47"/>
      <c r="E228" s="48"/>
      <c r="F228" s="48"/>
      <c r="G228" s="45">
        <f>SUBTOTAL(9,G205:G227)</f>
        <v>0</v>
      </c>
      <c r="H228" s="133"/>
    </row>
    <row r="229" spans="1:8" ht="12.75">
      <c r="A229" s="28"/>
      <c r="B229" s="29"/>
      <c r="C229" s="13"/>
      <c r="D229" s="14"/>
      <c r="E229" s="20"/>
      <c r="F229" s="20"/>
      <c r="G229" s="15"/>
      <c r="H229" s="133"/>
    </row>
    <row r="230" spans="1:8" ht="16.5">
      <c r="A230" s="28"/>
      <c r="B230" s="70" t="s">
        <v>43</v>
      </c>
      <c r="C230" s="183" t="s">
        <v>258</v>
      </c>
      <c r="D230" s="183"/>
      <c r="E230" s="183"/>
      <c r="F230" s="183"/>
      <c r="G230" s="183"/>
      <c r="H230" s="133"/>
    </row>
    <row r="231" spans="1:8" ht="38.25" customHeight="1">
      <c r="A231" s="28"/>
      <c r="B231" s="63"/>
      <c r="C231" s="184" t="s">
        <v>116</v>
      </c>
      <c r="D231" s="185"/>
      <c r="E231" s="185"/>
      <c r="F231" s="185"/>
      <c r="G231" s="185"/>
      <c r="H231" s="133"/>
    </row>
    <row r="232" spans="1:8" ht="12.75">
      <c r="A232" s="28">
        <f>+A227+1</f>
        <v>115</v>
      </c>
      <c r="B232" s="29"/>
      <c r="C232" s="35" t="s">
        <v>113</v>
      </c>
      <c r="D232" s="36" t="s">
        <v>118</v>
      </c>
      <c r="E232" s="37">
        <v>1</v>
      </c>
      <c r="F232" s="179">
        <f>+ESA_ESI!H41</f>
        <v>0</v>
      </c>
      <c r="G232" s="38">
        <f>E232*F232</f>
        <v>0</v>
      </c>
      <c r="H232" s="133" t="s">
        <v>205</v>
      </c>
    </row>
    <row r="233" spans="1:8" ht="13.5" thickBot="1">
      <c r="A233" s="28">
        <f>A232+1</f>
        <v>116</v>
      </c>
      <c r="B233" s="29"/>
      <c r="C233" s="35" t="s">
        <v>114</v>
      </c>
      <c r="D233" s="36" t="s">
        <v>118</v>
      </c>
      <c r="E233" s="37">
        <v>1</v>
      </c>
      <c r="F233" s="179">
        <f>+ESA_ESI!H55</f>
        <v>0</v>
      </c>
      <c r="G233" s="38">
        <f>E233*F233</f>
        <v>0</v>
      </c>
      <c r="H233" s="133" t="s">
        <v>205</v>
      </c>
    </row>
    <row r="234" spans="1:7" ht="13.5" thickBot="1">
      <c r="A234" s="28"/>
      <c r="B234" s="29"/>
      <c r="C234" s="46" t="s">
        <v>19</v>
      </c>
      <c r="D234" s="47"/>
      <c r="E234" s="48"/>
      <c r="F234" s="48"/>
      <c r="G234" s="45">
        <f>SUBTOTAL(9,G232:G233)</f>
        <v>0</v>
      </c>
    </row>
    <row r="235" spans="1:8" ht="12.75">
      <c r="A235" s="28"/>
      <c r="B235" s="29"/>
      <c r="C235" s="13"/>
      <c r="D235" s="14"/>
      <c r="E235" s="20"/>
      <c r="F235" s="20"/>
      <c r="G235" s="15"/>
      <c r="H235" s="133"/>
    </row>
    <row r="236" spans="1:8" ht="16.5">
      <c r="A236" s="28"/>
      <c r="B236" s="70" t="s">
        <v>54</v>
      </c>
      <c r="C236" s="183" t="s">
        <v>259</v>
      </c>
      <c r="D236" s="183"/>
      <c r="E236" s="183"/>
      <c r="F236" s="183"/>
      <c r="G236" s="183"/>
      <c r="H236" s="133"/>
    </row>
    <row r="237" spans="1:8" ht="38.25" customHeight="1">
      <c r="A237" s="28"/>
      <c r="B237" s="63"/>
      <c r="C237" s="184" t="s">
        <v>117</v>
      </c>
      <c r="D237" s="185"/>
      <c r="E237" s="185"/>
      <c r="F237" s="185"/>
      <c r="G237" s="185"/>
      <c r="H237" s="133"/>
    </row>
    <row r="238" spans="1:8" ht="12.75">
      <c r="A238" s="28">
        <f>+A233+1</f>
        <v>117</v>
      </c>
      <c r="B238" s="29"/>
      <c r="C238" s="35" t="s">
        <v>176</v>
      </c>
      <c r="D238" s="36" t="s">
        <v>118</v>
      </c>
      <c r="E238" s="37">
        <v>1</v>
      </c>
      <c r="F238" s="179">
        <f>+ESA_ESI!H73</f>
        <v>0</v>
      </c>
      <c r="G238" s="38">
        <f>E238*F238</f>
        <v>0</v>
      </c>
      <c r="H238" s="133" t="s">
        <v>205</v>
      </c>
    </row>
    <row r="239" spans="1:8" ht="13.5" thickBot="1">
      <c r="A239" s="28">
        <f>A238+1</f>
        <v>118</v>
      </c>
      <c r="B239" s="29"/>
      <c r="C239" s="35" t="s">
        <v>115</v>
      </c>
      <c r="D239" s="36" t="s">
        <v>118</v>
      </c>
      <c r="E239" s="37">
        <v>1</v>
      </c>
      <c r="F239" s="179">
        <f>+ESA_ESI!H79</f>
        <v>0</v>
      </c>
      <c r="G239" s="38">
        <f>E239*F239</f>
        <v>0</v>
      </c>
      <c r="H239" s="133" t="s">
        <v>205</v>
      </c>
    </row>
    <row r="240" spans="1:7" ht="13.5" thickBot="1">
      <c r="A240" s="28"/>
      <c r="B240" s="29"/>
      <c r="C240" s="46" t="s">
        <v>19</v>
      </c>
      <c r="D240" s="47"/>
      <c r="E240" s="48"/>
      <c r="F240" s="48"/>
      <c r="G240" s="45">
        <f>SUBTOTAL(9,G238:G239)</f>
        <v>0</v>
      </c>
    </row>
    <row r="241" spans="1:8" ht="14.25" customHeight="1" thickBot="1">
      <c r="A241" s="28"/>
      <c r="B241" s="29"/>
      <c r="C241" s="13"/>
      <c r="D241" s="14"/>
      <c r="E241" s="20"/>
      <c r="F241" s="20"/>
      <c r="G241" s="15"/>
      <c r="H241" s="133"/>
    </row>
    <row r="242" spans="1:8" ht="16.5">
      <c r="A242" s="28"/>
      <c r="B242" s="70" t="s">
        <v>101</v>
      </c>
      <c r="C242" s="186" t="s">
        <v>62</v>
      </c>
      <c r="D242" s="186"/>
      <c r="E242" s="186"/>
      <c r="F242" s="186"/>
      <c r="G242" s="186"/>
      <c r="H242" s="133"/>
    </row>
    <row r="243" spans="1:8" ht="63" customHeight="1">
      <c r="A243" s="28"/>
      <c r="B243" s="63"/>
      <c r="C243" s="184" t="s">
        <v>119</v>
      </c>
      <c r="D243" s="184"/>
      <c r="E243" s="184"/>
      <c r="F243" s="184"/>
      <c r="G243" s="184"/>
      <c r="H243" s="133"/>
    </row>
    <row r="244" spans="1:9" ht="12.75">
      <c r="A244" s="28">
        <f>A239+1</f>
        <v>119</v>
      </c>
      <c r="B244" s="145" t="s">
        <v>29</v>
      </c>
      <c r="C244" s="149" t="s">
        <v>296</v>
      </c>
      <c r="D244" s="146" t="s">
        <v>21</v>
      </c>
      <c r="E244" s="147">
        <v>5.3</v>
      </c>
      <c r="F244" s="172"/>
      <c r="G244" s="148">
        <f aca="true" t="shared" si="18" ref="G244:G259">E244*F244</f>
        <v>0</v>
      </c>
      <c r="H244" s="131" t="s">
        <v>214</v>
      </c>
      <c r="I244" s="137"/>
    </row>
    <row r="245" spans="1:9" ht="12.75">
      <c r="A245" s="28">
        <f>A244+1</f>
        <v>120</v>
      </c>
      <c r="B245" s="145" t="s">
        <v>29</v>
      </c>
      <c r="C245" s="149" t="s">
        <v>377</v>
      </c>
      <c r="D245" s="146" t="s">
        <v>20</v>
      </c>
      <c r="E245" s="147">
        <v>3</v>
      </c>
      <c r="F245" s="172"/>
      <c r="G245" s="148">
        <f t="shared" si="18"/>
        <v>0</v>
      </c>
      <c r="H245" s="131" t="s">
        <v>214</v>
      </c>
      <c r="I245" s="137"/>
    </row>
    <row r="246" spans="1:15" ht="38.25">
      <c r="A246" s="28">
        <f>A245+1</f>
        <v>121</v>
      </c>
      <c r="B246" s="29" t="s">
        <v>29</v>
      </c>
      <c r="C246" s="35" t="s">
        <v>297</v>
      </c>
      <c r="D246" s="36" t="s">
        <v>20</v>
      </c>
      <c r="E246" s="37">
        <v>1</v>
      </c>
      <c r="F246" s="172"/>
      <c r="G246" s="38">
        <f t="shared" si="18"/>
        <v>0</v>
      </c>
      <c r="H246" s="131" t="s">
        <v>214</v>
      </c>
      <c r="N246" s="165" t="s">
        <v>290</v>
      </c>
      <c r="O246" s="164"/>
    </row>
    <row r="247" spans="1:8" ht="25.5">
      <c r="A247" s="28">
        <f aca="true" t="shared" si="19" ref="A247:A256">A246+1</f>
        <v>122</v>
      </c>
      <c r="B247" s="29" t="s">
        <v>29</v>
      </c>
      <c r="C247" s="35" t="s">
        <v>350</v>
      </c>
      <c r="D247" s="36" t="s">
        <v>20</v>
      </c>
      <c r="E247" s="37">
        <v>1</v>
      </c>
      <c r="F247" s="172"/>
      <c r="G247" s="38">
        <f t="shared" si="18"/>
        <v>0</v>
      </c>
      <c r="H247" s="133" t="s">
        <v>214</v>
      </c>
    </row>
    <row r="248" spans="1:8" ht="16.5" customHeight="1">
      <c r="A248" s="28">
        <f t="shared" si="19"/>
        <v>123</v>
      </c>
      <c r="B248" s="29" t="s">
        <v>29</v>
      </c>
      <c r="C248" s="35" t="s">
        <v>348</v>
      </c>
      <c r="D248" s="36" t="s">
        <v>21</v>
      </c>
      <c r="E248" s="37">
        <f>13+1</f>
        <v>14</v>
      </c>
      <c r="F248" s="172"/>
      <c r="G248" s="38">
        <f t="shared" si="18"/>
        <v>0</v>
      </c>
      <c r="H248" s="133" t="s">
        <v>214</v>
      </c>
    </row>
    <row r="249" spans="1:8" ht="16.5" customHeight="1">
      <c r="A249" s="28">
        <f t="shared" si="19"/>
        <v>124</v>
      </c>
      <c r="B249" s="29" t="s">
        <v>29</v>
      </c>
      <c r="C249" s="35" t="s">
        <v>349</v>
      </c>
      <c r="D249" s="36" t="s">
        <v>20</v>
      </c>
      <c r="E249" s="37">
        <v>1</v>
      </c>
      <c r="F249" s="172"/>
      <c r="G249" s="38">
        <f t="shared" si="18"/>
        <v>0</v>
      </c>
      <c r="H249" s="133" t="s">
        <v>214</v>
      </c>
    </row>
    <row r="250" spans="1:8" ht="12.75">
      <c r="A250" s="28">
        <f t="shared" si="19"/>
        <v>125</v>
      </c>
      <c r="B250" s="29" t="s">
        <v>29</v>
      </c>
      <c r="C250" s="35" t="s">
        <v>90</v>
      </c>
      <c r="D250" s="36" t="s">
        <v>17</v>
      </c>
      <c r="E250" s="37">
        <v>1</v>
      </c>
      <c r="F250" s="172"/>
      <c r="G250" s="38">
        <f t="shared" si="18"/>
        <v>0</v>
      </c>
      <c r="H250" s="133" t="s">
        <v>214</v>
      </c>
    </row>
    <row r="251" spans="1:9" ht="12.75">
      <c r="A251" s="28">
        <f t="shared" si="19"/>
        <v>126</v>
      </c>
      <c r="B251" s="182" t="s">
        <v>29</v>
      </c>
      <c r="C251" s="149" t="s">
        <v>288</v>
      </c>
      <c r="D251" s="146" t="s">
        <v>21</v>
      </c>
      <c r="E251" s="147">
        <v>1</v>
      </c>
      <c r="F251" s="172"/>
      <c r="G251" s="148">
        <f t="shared" si="18"/>
        <v>0</v>
      </c>
      <c r="H251" s="131" t="s">
        <v>214</v>
      </c>
      <c r="I251" s="137"/>
    </row>
    <row r="252" spans="1:8" ht="12.75">
      <c r="A252" s="28">
        <f t="shared" si="19"/>
        <v>127</v>
      </c>
      <c r="B252" s="29" t="s">
        <v>29</v>
      </c>
      <c r="C252" s="35" t="s">
        <v>289</v>
      </c>
      <c r="D252" s="36" t="s">
        <v>21</v>
      </c>
      <c r="E252" s="37">
        <v>1.3</v>
      </c>
      <c r="F252" s="172"/>
      <c r="G252" s="148">
        <f t="shared" si="18"/>
        <v>0</v>
      </c>
      <c r="H252" s="131" t="s">
        <v>214</v>
      </c>
    </row>
    <row r="253" spans="1:8" ht="12.75">
      <c r="A253" s="28">
        <f t="shared" si="19"/>
        <v>128</v>
      </c>
      <c r="B253" s="29" t="s">
        <v>29</v>
      </c>
      <c r="C253" s="35" t="s">
        <v>298</v>
      </c>
      <c r="D253" s="36" t="s">
        <v>20</v>
      </c>
      <c r="E253" s="37">
        <v>1</v>
      </c>
      <c r="F253" s="172"/>
      <c r="G253" s="38">
        <f t="shared" si="18"/>
        <v>0</v>
      </c>
      <c r="H253" s="133" t="s">
        <v>214</v>
      </c>
    </row>
    <row r="254" spans="1:8" ht="12.75">
      <c r="A254" s="28">
        <f t="shared" si="19"/>
        <v>129</v>
      </c>
      <c r="B254" s="29" t="s">
        <v>29</v>
      </c>
      <c r="C254" s="35" t="s">
        <v>91</v>
      </c>
      <c r="D254" s="36" t="s">
        <v>20</v>
      </c>
      <c r="E254" s="37">
        <v>1</v>
      </c>
      <c r="F254" s="172"/>
      <c r="G254" s="38">
        <f t="shared" si="18"/>
        <v>0</v>
      </c>
      <c r="H254" s="133" t="s">
        <v>214</v>
      </c>
    </row>
    <row r="255" spans="1:14" ht="25.5">
      <c r="A255" s="28">
        <f t="shared" si="19"/>
        <v>130</v>
      </c>
      <c r="B255" s="182" t="s">
        <v>29</v>
      </c>
      <c r="C255" s="35" t="s">
        <v>378</v>
      </c>
      <c r="D255" s="146" t="s">
        <v>20</v>
      </c>
      <c r="E255" s="147">
        <v>1</v>
      </c>
      <c r="F255" s="172"/>
      <c r="G255" s="148">
        <f t="shared" si="18"/>
        <v>0</v>
      </c>
      <c r="H255" s="131" t="s">
        <v>214</v>
      </c>
      <c r="I255" s="137"/>
      <c r="N255" s="162"/>
    </row>
    <row r="256" spans="1:14" ht="12.75">
      <c r="A256" s="28">
        <f t="shared" si="19"/>
        <v>131</v>
      </c>
      <c r="B256" s="29" t="s">
        <v>30</v>
      </c>
      <c r="C256" s="35" t="s">
        <v>120</v>
      </c>
      <c r="D256" s="36" t="s">
        <v>26</v>
      </c>
      <c r="E256" s="37">
        <f>SUM(G244:G254)</f>
        <v>0</v>
      </c>
      <c r="F256" s="176"/>
      <c r="G256" s="38">
        <f t="shared" si="18"/>
        <v>0</v>
      </c>
      <c r="H256" s="133" t="s">
        <v>214</v>
      </c>
      <c r="N256" s="7" t="s">
        <v>240</v>
      </c>
    </row>
    <row r="257" spans="1:14" ht="25.5">
      <c r="A257" s="144">
        <f>A255+1</f>
        <v>131</v>
      </c>
      <c r="B257" s="182" t="s">
        <v>30</v>
      </c>
      <c r="C257" s="149" t="s">
        <v>295</v>
      </c>
      <c r="D257" s="146" t="s">
        <v>20</v>
      </c>
      <c r="E257" s="147">
        <v>1</v>
      </c>
      <c r="F257" s="172"/>
      <c r="G257" s="148">
        <f t="shared" si="18"/>
        <v>0</v>
      </c>
      <c r="H257" s="131" t="s">
        <v>214</v>
      </c>
      <c r="I257" s="137"/>
      <c r="N257" s="162"/>
    </row>
    <row r="258" spans="1:8" ht="12.75">
      <c r="A258" s="28">
        <f>A256+1</f>
        <v>132</v>
      </c>
      <c r="B258" s="29" t="s">
        <v>30</v>
      </c>
      <c r="C258" s="35" t="s">
        <v>121</v>
      </c>
      <c r="D258" s="36" t="s">
        <v>26</v>
      </c>
      <c r="E258" s="37">
        <f>+E256</f>
        <v>0</v>
      </c>
      <c r="F258" s="176"/>
      <c r="G258" s="38">
        <f t="shared" si="18"/>
        <v>0</v>
      </c>
      <c r="H258" s="133" t="s">
        <v>214</v>
      </c>
    </row>
    <row r="259" spans="1:8" ht="13.5" thickBot="1">
      <c r="A259" s="28">
        <f>A258+1</f>
        <v>133</v>
      </c>
      <c r="B259" s="29"/>
      <c r="C259" s="35" t="s">
        <v>45</v>
      </c>
      <c r="D259" s="32" t="s">
        <v>26</v>
      </c>
      <c r="E259" s="37">
        <f>+E256</f>
        <v>0</v>
      </c>
      <c r="F259" s="174"/>
      <c r="G259" s="30">
        <f t="shared" si="18"/>
        <v>0</v>
      </c>
      <c r="H259" s="133" t="s">
        <v>214</v>
      </c>
    </row>
    <row r="260" spans="1:7" ht="13.5" thickBot="1">
      <c r="A260" s="28"/>
      <c r="B260" s="29"/>
      <c r="C260" s="46" t="s">
        <v>19</v>
      </c>
      <c r="D260" s="47"/>
      <c r="E260" s="48"/>
      <c r="F260" s="48"/>
      <c r="G260" s="45">
        <f>SUBTOTAL(9,G244:G259)</f>
        <v>0</v>
      </c>
    </row>
    <row r="261" spans="1:8" ht="12.75">
      <c r="A261" s="28"/>
      <c r="B261" s="29"/>
      <c r="C261" s="13"/>
      <c r="D261" s="14"/>
      <c r="E261" s="20"/>
      <c r="F261" s="20"/>
      <c r="G261" s="15"/>
      <c r="H261" s="133"/>
    </row>
    <row r="262" spans="1:8" ht="16.5">
      <c r="A262" s="28"/>
      <c r="B262" s="70" t="s">
        <v>102</v>
      </c>
      <c r="C262" s="183" t="s">
        <v>63</v>
      </c>
      <c r="D262" s="183"/>
      <c r="E262" s="183"/>
      <c r="F262" s="183"/>
      <c r="G262" s="183"/>
      <c r="H262" s="133"/>
    </row>
    <row r="263" spans="1:8" ht="66.75" customHeight="1">
      <c r="A263" s="28"/>
      <c r="B263" s="63"/>
      <c r="C263" s="184" t="s">
        <v>86</v>
      </c>
      <c r="D263" s="185"/>
      <c r="E263" s="185"/>
      <c r="F263" s="185"/>
      <c r="G263" s="185"/>
      <c r="H263" s="133"/>
    </row>
    <row r="264" spans="1:8" ht="12.75">
      <c r="A264" s="28">
        <f>A259+1</f>
        <v>134</v>
      </c>
      <c r="B264" s="29" t="s">
        <v>306</v>
      </c>
      <c r="C264" s="35" t="s">
        <v>299</v>
      </c>
      <c r="D264" s="36" t="s">
        <v>20</v>
      </c>
      <c r="E264" s="37">
        <v>3</v>
      </c>
      <c r="F264" s="172"/>
      <c r="G264" s="38">
        <f aca="true" t="shared" si="20" ref="G264:G274">E264*F264</f>
        <v>0</v>
      </c>
      <c r="H264" s="133" t="s">
        <v>214</v>
      </c>
    </row>
    <row r="265" spans="1:8" ht="25.5">
      <c r="A265" s="28">
        <f>A264+1</f>
        <v>135</v>
      </c>
      <c r="B265" s="75" t="s">
        <v>87</v>
      </c>
      <c r="C265" s="166" t="s">
        <v>303</v>
      </c>
      <c r="D265" s="167" t="s">
        <v>20</v>
      </c>
      <c r="E265" s="168">
        <v>1</v>
      </c>
      <c r="F265" s="173"/>
      <c r="G265" s="169">
        <f>E265*F265</f>
        <v>0</v>
      </c>
      <c r="H265" s="131" t="s">
        <v>214</v>
      </c>
    </row>
    <row r="266" spans="1:8" ht="25.5">
      <c r="A266" s="28">
        <f>A265+1</f>
        <v>136</v>
      </c>
      <c r="B266" s="75" t="s">
        <v>183</v>
      </c>
      <c r="C266" s="166" t="s">
        <v>304</v>
      </c>
      <c r="D266" s="167" t="s">
        <v>20</v>
      </c>
      <c r="E266" s="168">
        <v>1</v>
      </c>
      <c r="F266" s="173"/>
      <c r="G266" s="169">
        <f>E266*F266</f>
        <v>0</v>
      </c>
      <c r="H266" s="131" t="s">
        <v>214</v>
      </c>
    </row>
    <row r="267" spans="1:8" ht="25.5">
      <c r="A267" s="28">
        <f>A266+1</f>
        <v>137</v>
      </c>
      <c r="B267" s="75" t="s">
        <v>244</v>
      </c>
      <c r="C267" s="166" t="s">
        <v>305</v>
      </c>
      <c r="D267" s="167" t="s">
        <v>20</v>
      </c>
      <c r="E267" s="168">
        <v>1</v>
      </c>
      <c r="F267" s="173"/>
      <c r="G267" s="169">
        <f>E267*F267</f>
        <v>0</v>
      </c>
      <c r="H267" s="131" t="s">
        <v>205</v>
      </c>
    </row>
    <row r="268" spans="1:8" ht="25.5">
      <c r="A268" s="28">
        <f>A267+1</f>
        <v>138</v>
      </c>
      <c r="B268" s="29" t="s">
        <v>239</v>
      </c>
      <c r="C268" s="35" t="s">
        <v>300</v>
      </c>
      <c r="D268" s="36" t="s">
        <v>20</v>
      </c>
      <c r="E268" s="37">
        <v>1</v>
      </c>
      <c r="F268" s="172"/>
      <c r="G268" s="38">
        <f t="shared" si="20"/>
        <v>0</v>
      </c>
      <c r="H268" s="133" t="s">
        <v>205</v>
      </c>
    </row>
    <row r="269" spans="1:8" ht="25.5">
      <c r="A269" s="28">
        <f aca="true" t="shared" si="21" ref="A269:A274">A268+1</f>
        <v>139</v>
      </c>
      <c r="B269" s="29"/>
      <c r="C269" s="35" t="s">
        <v>351</v>
      </c>
      <c r="D269" s="36" t="s">
        <v>20</v>
      </c>
      <c r="E269" s="37">
        <v>2</v>
      </c>
      <c r="F269" s="172"/>
      <c r="G269" s="38">
        <f t="shared" si="20"/>
        <v>0</v>
      </c>
      <c r="H269" s="133" t="s">
        <v>205</v>
      </c>
    </row>
    <row r="270" spans="1:8" ht="12.75">
      <c r="A270" s="28">
        <f>A268+1</f>
        <v>139</v>
      </c>
      <c r="B270" s="29"/>
      <c r="C270" s="35" t="s">
        <v>108</v>
      </c>
      <c r="D270" s="36" t="s">
        <v>20</v>
      </c>
      <c r="E270" s="37">
        <v>1</v>
      </c>
      <c r="F270" s="172"/>
      <c r="G270" s="38">
        <f t="shared" si="20"/>
        <v>0</v>
      </c>
      <c r="H270" s="133" t="s">
        <v>214</v>
      </c>
    </row>
    <row r="271" spans="1:15" ht="25.5">
      <c r="A271" s="28">
        <f t="shared" si="21"/>
        <v>140</v>
      </c>
      <c r="B271" s="75" t="s">
        <v>29</v>
      </c>
      <c r="C271" s="76" t="s">
        <v>354</v>
      </c>
      <c r="D271" s="167" t="s">
        <v>20</v>
      </c>
      <c r="E271" s="168">
        <v>1</v>
      </c>
      <c r="F271" s="173"/>
      <c r="G271" s="169">
        <f t="shared" si="20"/>
        <v>0</v>
      </c>
      <c r="H271" s="133" t="s">
        <v>214</v>
      </c>
      <c r="N271" s="161"/>
      <c r="O271" s="162"/>
    </row>
    <row r="272" spans="1:15" ht="16.5">
      <c r="A272" s="28">
        <f t="shared" si="21"/>
        <v>141</v>
      </c>
      <c r="B272" s="75" t="s">
        <v>29</v>
      </c>
      <c r="C272" s="166" t="s">
        <v>301</v>
      </c>
      <c r="D272" s="167" t="s">
        <v>20</v>
      </c>
      <c r="E272" s="168">
        <v>1</v>
      </c>
      <c r="F272" s="173"/>
      <c r="G272" s="169">
        <f t="shared" si="20"/>
        <v>0</v>
      </c>
      <c r="H272" s="133" t="s">
        <v>214</v>
      </c>
      <c r="N272" s="161"/>
      <c r="O272" s="162"/>
    </row>
    <row r="273" spans="1:15" ht="25.5">
      <c r="A273" s="28">
        <f t="shared" si="21"/>
        <v>142</v>
      </c>
      <c r="B273" s="75"/>
      <c r="C273" s="76" t="s">
        <v>355</v>
      </c>
      <c r="D273" s="167" t="s">
        <v>20</v>
      </c>
      <c r="E273" s="168">
        <v>1</v>
      </c>
      <c r="F273" s="173"/>
      <c r="G273" s="169">
        <f t="shared" si="20"/>
        <v>0</v>
      </c>
      <c r="H273" s="133" t="s">
        <v>214</v>
      </c>
      <c r="N273" s="161"/>
      <c r="O273" s="162"/>
    </row>
    <row r="274" spans="1:8" ht="13.5" thickBot="1">
      <c r="A274" s="28">
        <f t="shared" si="21"/>
        <v>143</v>
      </c>
      <c r="B274" s="29"/>
      <c r="C274" s="35" t="s">
        <v>45</v>
      </c>
      <c r="D274" s="32" t="s">
        <v>26</v>
      </c>
      <c r="E274" s="37">
        <f>+G265+G266+G267+G268+G270+G271+G272+G273</f>
        <v>0</v>
      </c>
      <c r="F274" s="174"/>
      <c r="G274" s="30">
        <f t="shared" si="20"/>
        <v>0</v>
      </c>
      <c r="H274" s="133" t="s">
        <v>214</v>
      </c>
    </row>
    <row r="275" spans="1:7" ht="13.5" thickBot="1">
      <c r="A275" s="28"/>
      <c r="B275" s="29"/>
      <c r="C275" s="46" t="s">
        <v>19</v>
      </c>
      <c r="D275" s="47"/>
      <c r="E275" s="48"/>
      <c r="F275" s="48"/>
      <c r="G275" s="45">
        <f>SUBTOTAL(9,G264:G274)</f>
        <v>0</v>
      </c>
    </row>
    <row r="276" spans="1:14" ht="12.75">
      <c r="A276" s="28"/>
      <c r="B276" s="29"/>
      <c r="C276" s="13"/>
      <c r="D276" s="14"/>
      <c r="E276" s="20"/>
      <c r="F276" s="20"/>
      <c r="G276" s="15"/>
      <c r="H276" s="133"/>
      <c r="N276" s="7" t="s">
        <v>240</v>
      </c>
    </row>
    <row r="277" spans="1:8" ht="16.5">
      <c r="A277" s="28"/>
      <c r="B277" s="70" t="s">
        <v>103</v>
      </c>
      <c r="C277" s="183" t="s">
        <v>44</v>
      </c>
      <c r="D277" s="183"/>
      <c r="E277" s="183"/>
      <c r="F277" s="183"/>
      <c r="G277" s="183"/>
      <c r="H277" s="133"/>
    </row>
    <row r="278" spans="1:8" ht="66.75" customHeight="1">
      <c r="A278" s="28"/>
      <c r="B278" s="63"/>
      <c r="C278" s="184" t="s">
        <v>86</v>
      </c>
      <c r="D278" s="185"/>
      <c r="E278" s="185"/>
      <c r="F278" s="185"/>
      <c r="G278" s="185"/>
      <c r="H278" s="133"/>
    </row>
    <row r="279" spans="1:8" ht="12.75">
      <c r="A279" s="28">
        <f>A274+1</f>
        <v>144</v>
      </c>
      <c r="B279" s="29" t="s">
        <v>241</v>
      </c>
      <c r="C279" s="149" t="s">
        <v>356</v>
      </c>
      <c r="D279" s="146" t="s">
        <v>32</v>
      </c>
      <c r="E279" s="147">
        <f>4*1.2*8.1</f>
        <v>38.879999999999995</v>
      </c>
      <c r="F279" s="172"/>
      <c r="G279" s="148">
        <f aca="true" t="shared" si="22" ref="G279:G285">E279*F279</f>
        <v>0</v>
      </c>
      <c r="H279" s="131" t="s">
        <v>214</v>
      </c>
    </row>
    <row r="280" spans="1:8" ht="12.75">
      <c r="A280" s="28">
        <f aca="true" t="shared" si="23" ref="A280:A285">A279+1</f>
        <v>145</v>
      </c>
      <c r="B280" s="75" t="s">
        <v>29</v>
      </c>
      <c r="C280" s="166" t="s">
        <v>357</v>
      </c>
      <c r="D280" s="167" t="s">
        <v>32</v>
      </c>
      <c r="E280" s="168">
        <f>+E279</f>
        <v>38.879999999999995</v>
      </c>
      <c r="F280" s="175"/>
      <c r="G280" s="169">
        <f t="shared" si="22"/>
        <v>0</v>
      </c>
      <c r="H280" s="131" t="s">
        <v>214</v>
      </c>
    </row>
    <row r="281" spans="1:8" ht="12.75">
      <c r="A281" s="28">
        <f t="shared" si="23"/>
        <v>146</v>
      </c>
      <c r="B281" s="29" t="s">
        <v>30</v>
      </c>
      <c r="C281" s="149" t="s">
        <v>353</v>
      </c>
      <c r="D281" s="146" t="s">
        <v>20</v>
      </c>
      <c r="E281" s="147">
        <v>2</v>
      </c>
      <c r="F281" s="172"/>
      <c r="G281" s="148">
        <f t="shared" si="22"/>
        <v>0</v>
      </c>
      <c r="H281" s="131" t="s">
        <v>205</v>
      </c>
    </row>
    <row r="282" spans="1:8" ht="25.5">
      <c r="A282" s="28">
        <f t="shared" si="23"/>
        <v>147</v>
      </c>
      <c r="B282" s="75" t="s">
        <v>29</v>
      </c>
      <c r="C282" s="166" t="s">
        <v>352</v>
      </c>
      <c r="D282" s="167" t="s">
        <v>20</v>
      </c>
      <c r="E282" s="168">
        <v>2</v>
      </c>
      <c r="F282" s="175"/>
      <c r="G282" s="169">
        <f t="shared" si="22"/>
        <v>0</v>
      </c>
      <c r="H282" s="131" t="s">
        <v>214</v>
      </c>
    </row>
    <row r="283" spans="1:8" ht="12.75">
      <c r="A283" s="28">
        <f t="shared" si="23"/>
        <v>148</v>
      </c>
      <c r="B283" s="29" t="s">
        <v>30</v>
      </c>
      <c r="C283" s="149" t="s">
        <v>302</v>
      </c>
      <c r="D283" s="146" t="s">
        <v>20</v>
      </c>
      <c r="E283" s="147">
        <v>1</v>
      </c>
      <c r="F283" s="172"/>
      <c r="G283" s="148">
        <f t="shared" si="22"/>
        <v>0</v>
      </c>
      <c r="H283" s="131" t="s">
        <v>205</v>
      </c>
    </row>
    <row r="284" spans="1:8" ht="38.25">
      <c r="A284" s="28">
        <f t="shared" si="23"/>
        <v>149</v>
      </c>
      <c r="B284" s="75" t="s">
        <v>29</v>
      </c>
      <c r="C284" s="166" t="s">
        <v>307</v>
      </c>
      <c r="D284" s="167" t="s">
        <v>20</v>
      </c>
      <c r="E284" s="168">
        <v>1</v>
      </c>
      <c r="F284" s="175"/>
      <c r="G284" s="169">
        <f t="shared" si="22"/>
        <v>0</v>
      </c>
      <c r="H284" s="131" t="s">
        <v>205</v>
      </c>
    </row>
    <row r="285" spans="1:8" ht="13.5" thickBot="1">
      <c r="A285" s="28">
        <f t="shared" si="23"/>
        <v>150</v>
      </c>
      <c r="B285" s="29"/>
      <c r="C285" s="35" t="s">
        <v>45</v>
      </c>
      <c r="D285" s="32" t="s">
        <v>26</v>
      </c>
      <c r="E285" s="37">
        <f>+G280+G282+G284</f>
        <v>0</v>
      </c>
      <c r="F285" s="174"/>
      <c r="G285" s="30">
        <f t="shared" si="22"/>
        <v>0</v>
      </c>
      <c r="H285" s="133" t="s">
        <v>214</v>
      </c>
    </row>
    <row r="286" spans="1:7" ht="13.5" thickBot="1">
      <c r="A286" s="28"/>
      <c r="B286" s="29"/>
      <c r="C286" s="46" t="s">
        <v>19</v>
      </c>
      <c r="D286" s="47"/>
      <c r="E286" s="48"/>
      <c r="F286" s="48"/>
      <c r="G286" s="45">
        <f>SUBTOTAL(9,G279:G285)</f>
        <v>0</v>
      </c>
    </row>
    <row r="287" spans="1:8" ht="12.75">
      <c r="A287" s="28"/>
      <c r="B287" s="29"/>
      <c r="C287" s="13"/>
      <c r="D287" s="14"/>
      <c r="E287" s="20"/>
      <c r="F287" s="20"/>
      <c r="G287" s="15"/>
      <c r="H287" s="133"/>
    </row>
    <row r="288" spans="1:8" ht="16.5">
      <c r="A288" s="28"/>
      <c r="B288" s="70" t="s">
        <v>104</v>
      </c>
      <c r="C288" s="183" t="s">
        <v>64</v>
      </c>
      <c r="D288" s="183"/>
      <c r="E288" s="183"/>
      <c r="F288" s="183"/>
      <c r="G288" s="183"/>
      <c r="H288" s="133"/>
    </row>
    <row r="289" spans="1:8" ht="52.5" customHeight="1">
      <c r="A289" s="28"/>
      <c r="B289" s="63"/>
      <c r="C289" s="184" t="s">
        <v>74</v>
      </c>
      <c r="D289" s="185"/>
      <c r="E289" s="185"/>
      <c r="F289" s="185"/>
      <c r="G289" s="185"/>
      <c r="H289" s="133"/>
    </row>
    <row r="290" spans="1:8" ht="25.5">
      <c r="A290" s="28">
        <f>+A285+1</f>
        <v>151</v>
      </c>
      <c r="B290" s="29" t="s">
        <v>246</v>
      </c>
      <c r="C290" s="35" t="s">
        <v>358</v>
      </c>
      <c r="D290" s="36" t="s">
        <v>18</v>
      </c>
      <c r="E290" s="37">
        <f>1.5+3.4</f>
        <v>4.9</v>
      </c>
      <c r="F290" s="172"/>
      <c r="G290" s="38">
        <f>E290*F290</f>
        <v>0</v>
      </c>
      <c r="H290" s="133" t="s">
        <v>205</v>
      </c>
    </row>
    <row r="291" spans="1:12" ht="12.75">
      <c r="A291" s="28">
        <f>+A290+1</f>
        <v>152</v>
      </c>
      <c r="B291" s="170"/>
      <c r="C291" s="149" t="s">
        <v>318</v>
      </c>
      <c r="D291" s="146" t="s">
        <v>18</v>
      </c>
      <c r="E291" s="147">
        <f>+E290</f>
        <v>4.9</v>
      </c>
      <c r="F291" s="172"/>
      <c r="G291" s="148">
        <f>E291*F291</f>
        <v>0</v>
      </c>
      <c r="H291" s="131" t="s">
        <v>205</v>
      </c>
      <c r="L291" s="137"/>
    </row>
    <row r="292" spans="1:12" ht="25.5">
      <c r="A292" s="28">
        <f>+A291+1</f>
        <v>153</v>
      </c>
      <c r="B292" s="171"/>
      <c r="C292" s="149" t="s">
        <v>316</v>
      </c>
      <c r="D292" s="146" t="s">
        <v>18</v>
      </c>
      <c r="E292" s="147">
        <f>+E291*1.1</f>
        <v>5.390000000000001</v>
      </c>
      <c r="F292" s="172"/>
      <c r="G292" s="38">
        <f>E292*F292</f>
        <v>0</v>
      </c>
      <c r="H292" s="131" t="s">
        <v>205</v>
      </c>
      <c r="L292" s="137"/>
    </row>
    <row r="293" spans="1:12" ht="12.75">
      <c r="A293" s="28">
        <f>A292+1</f>
        <v>154</v>
      </c>
      <c r="B293" s="171"/>
      <c r="C293" s="149" t="s">
        <v>249</v>
      </c>
      <c r="D293" s="149" t="s">
        <v>18</v>
      </c>
      <c r="E293" s="147">
        <f>+E291</f>
        <v>4.9</v>
      </c>
      <c r="F293" s="172"/>
      <c r="G293" s="148">
        <f>E293*F293</f>
        <v>0</v>
      </c>
      <c r="H293" s="131" t="s">
        <v>205</v>
      </c>
      <c r="L293" s="137"/>
    </row>
    <row r="294" spans="1:12" ht="25.5">
      <c r="A294" s="28">
        <f>A293+1</f>
        <v>155</v>
      </c>
      <c r="B294" s="29" t="s">
        <v>218</v>
      </c>
      <c r="C294" s="35" t="s">
        <v>245</v>
      </c>
      <c r="D294" s="36" t="s">
        <v>18</v>
      </c>
      <c r="E294" s="37">
        <f>1.5+3.4</f>
        <v>4.9</v>
      </c>
      <c r="F294" s="172"/>
      <c r="G294" s="38">
        <f aca="true" t="shared" si="24" ref="G294:G305">E294*F294</f>
        <v>0</v>
      </c>
      <c r="H294" s="133" t="s">
        <v>205</v>
      </c>
      <c r="L294" s="137"/>
    </row>
    <row r="295" spans="1:8" ht="25.5">
      <c r="A295" s="28">
        <f>A294+1</f>
        <v>156</v>
      </c>
      <c r="B295" s="75" t="s">
        <v>309</v>
      </c>
      <c r="C295" s="76" t="s">
        <v>217</v>
      </c>
      <c r="D295" s="77" t="s">
        <v>18</v>
      </c>
      <c r="E295" s="78">
        <f>(1.5+3.4)*1.1</f>
        <v>5.390000000000001</v>
      </c>
      <c r="F295" s="173"/>
      <c r="G295" s="79">
        <f t="shared" si="24"/>
        <v>0</v>
      </c>
      <c r="H295" s="133" t="s">
        <v>205</v>
      </c>
    </row>
    <row r="296" spans="1:12" ht="12.75">
      <c r="A296" s="28">
        <f>A295+1</f>
        <v>157</v>
      </c>
      <c r="B296" s="29" t="s">
        <v>246</v>
      </c>
      <c r="C296" s="35" t="s">
        <v>310</v>
      </c>
      <c r="D296" s="36" t="s">
        <v>18</v>
      </c>
      <c r="E296" s="37">
        <f>+E294</f>
        <v>4.9</v>
      </c>
      <c r="F296" s="172"/>
      <c r="G296" s="38">
        <f t="shared" si="24"/>
        <v>0</v>
      </c>
      <c r="H296" s="133" t="s">
        <v>205</v>
      </c>
      <c r="L296" s="143"/>
    </row>
    <row r="297" spans="1:8" ht="25.5">
      <c r="A297" s="28">
        <f aca="true" t="shared" si="25" ref="A297:A305">A296+1</f>
        <v>158</v>
      </c>
      <c r="B297" s="29" t="s">
        <v>85</v>
      </c>
      <c r="C297" s="35" t="s">
        <v>311</v>
      </c>
      <c r="D297" s="36" t="s">
        <v>21</v>
      </c>
      <c r="E297" s="37">
        <f>5.05-0.8-0.9*2</f>
        <v>2.45</v>
      </c>
      <c r="F297" s="172"/>
      <c r="G297" s="38">
        <f t="shared" si="24"/>
        <v>0</v>
      </c>
      <c r="H297" s="133" t="s">
        <v>205</v>
      </c>
    </row>
    <row r="298" spans="1:8" ht="12.75">
      <c r="A298" s="28">
        <f t="shared" si="25"/>
        <v>159</v>
      </c>
      <c r="B298" s="29" t="s">
        <v>85</v>
      </c>
      <c r="C298" s="35" t="s">
        <v>184</v>
      </c>
      <c r="D298" s="36" t="s">
        <v>21</v>
      </c>
      <c r="E298" s="37">
        <f>+E297</f>
        <v>2.45</v>
      </c>
      <c r="F298" s="172"/>
      <c r="G298" s="38">
        <f t="shared" si="24"/>
        <v>0</v>
      </c>
      <c r="H298" s="133" t="s">
        <v>205</v>
      </c>
    </row>
    <row r="299" spans="1:8" ht="25.5">
      <c r="A299" s="28">
        <f t="shared" si="25"/>
        <v>160</v>
      </c>
      <c r="B299" s="75" t="s">
        <v>84</v>
      </c>
      <c r="C299" s="76" t="s">
        <v>223</v>
      </c>
      <c r="D299" s="77" t="s">
        <v>20</v>
      </c>
      <c r="E299" s="78">
        <v>8</v>
      </c>
      <c r="F299" s="173"/>
      <c r="G299" s="79">
        <f t="shared" si="24"/>
        <v>0</v>
      </c>
      <c r="H299" s="133" t="s">
        <v>205</v>
      </c>
    </row>
    <row r="300" spans="1:8" ht="25.5">
      <c r="A300" s="28">
        <f t="shared" si="25"/>
        <v>161</v>
      </c>
      <c r="B300" s="29" t="s">
        <v>68</v>
      </c>
      <c r="C300" s="35" t="s">
        <v>67</v>
      </c>
      <c r="D300" s="36" t="s">
        <v>18</v>
      </c>
      <c r="E300" s="37">
        <v>3.4</v>
      </c>
      <c r="F300" s="172"/>
      <c r="G300" s="38">
        <f t="shared" si="24"/>
        <v>0</v>
      </c>
      <c r="H300" s="133" t="s">
        <v>205</v>
      </c>
    </row>
    <row r="301" spans="1:8" ht="12.75">
      <c r="A301" s="28">
        <f t="shared" si="25"/>
        <v>162</v>
      </c>
      <c r="B301" s="75" t="s">
        <v>69</v>
      </c>
      <c r="C301" s="76" t="s">
        <v>70</v>
      </c>
      <c r="D301" s="77" t="s">
        <v>32</v>
      </c>
      <c r="E301" s="78">
        <f>1.2*E300</f>
        <v>4.08</v>
      </c>
      <c r="F301" s="173"/>
      <c r="G301" s="79">
        <f t="shared" si="24"/>
        <v>0</v>
      </c>
      <c r="H301" s="133" t="s">
        <v>205</v>
      </c>
    </row>
    <row r="302" spans="1:8" ht="25.5">
      <c r="A302" s="28">
        <f t="shared" si="25"/>
        <v>163</v>
      </c>
      <c r="B302" s="75" t="s">
        <v>69</v>
      </c>
      <c r="C302" s="76" t="s">
        <v>229</v>
      </c>
      <c r="D302" s="77" t="s">
        <v>21</v>
      </c>
      <c r="E302" s="78">
        <f>7.58-0.8</f>
        <v>6.78</v>
      </c>
      <c r="F302" s="173"/>
      <c r="G302" s="79">
        <f t="shared" si="24"/>
        <v>0</v>
      </c>
      <c r="H302" s="133" t="s">
        <v>205</v>
      </c>
    </row>
    <row r="303" spans="1:8" ht="25.5">
      <c r="A303" s="28">
        <f t="shared" si="25"/>
        <v>164</v>
      </c>
      <c r="B303" s="29" t="s">
        <v>36</v>
      </c>
      <c r="C303" s="35" t="s">
        <v>247</v>
      </c>
      <c r="D303" s="36" t="s">
        <v>17</v>
      </c>
      <c r="E303" s="37">
        <v>1</v>
      </c>
      <c r="F303" s="172"/>
      <c r="G303" s="38">
        <f t="shared" si="24"/>
        <v>0</v>
      </c>
      <c r="H303" s="133" t="s">
        <v>205</v>
      </c>
    </row>
    <row r="304" spans="1:8" ht="12.75">
      <c r="A304" s="28">
        <f t="shared" si="25"/>
        <v>165</v>
      </c>
      <c r="B304" s="29"/>
      <c r="C304" s="35" t="s">
        <v>359</v>
      </c>
      <c r="D304" s="36" t="s">
        <v>17</v>
      </c>
      <c r="E304" s="37">
        <v>1</v>
      </c>
      <c r="F304" s="172"/>
      <c r="G304" s="38">
        <f t="shared" si="24"/>
        <v>0</v>
      </c>
      <c r="H304" s="133" t="s">
        <v>205</v>
      </c>
    </row>
    <row r="305" spans="1:8" ht="13.5" thickBot="1">
      <c r="A305" s="28">
        <f t="shared" si="25"/>
        <v>166</v>
      </c>
      <c r="B305" s="29"/>
      <c r="C305" s="35" t="s">
        <v>45</v>
      </c>
      <c r="D305" s="32" t="s">
        <v>26</v>
      </c>
      <c r="E305" s="37">
        <f>+G291+G292+G293+G290+G295+G296+G299+G301+G302+G303</f>
        <v>0</v>
      </c>
      <c r="F305" s="174"/>
      <c r="G305" s="30">
        <f t="shared" si="24"/>
        <v>0</v>
      </c>
      <c r="H305" s="133" t="s">
        <v>205</v>
      </c>
    </row>
    <row r="306" spans="1:7" ht="13.5" thickBot="1">
      <c r="A306" s="28"/>
      <c r="B306" s="29"/>
      <c r="C306" s="46" t="s">
        <v>19</v>
      </c>
      <c r="D306" s="47"/>
      <c r="E306" s="48"/>
      <c r="F306" s="48"/>
      <c r="G306" s="45">
        <f>SUBTOTAL(9,G290:G305)</f>
        <v>0</v>
      </c>
    </row>
    <row r="307" spans="1:8" ht="12.75">
      <c r="A307" s="28"/>
      <c r="B307" s="29"/>
      <c r="C307" s="13"/>
      <c r="D307" s="14"/>
      <c r="E307" s="20"/>
      <c r="F307" s="20"/>
      <c r="G307" s="15"/>
      <c r="H307" s="133"/>
    </row>
    <row r="308" spans="1:8" ht="16.5">
      <c r="A308" s="28"/>
      <c r="B308" s="70" t="s">
        <v>105</v>
      </c>
      <c r="C308" s="183" t="s">
        <v>287</v>
      </c>
      <c r="D308" s="183"/>
      <c r="E308" s="183"/>
      <c r="F308" s="183"/>
      <c r="G308" s="183"/>
      <c r="H308" s="133"/>
    </row>
    <row r="309" spans="1:8" ht="52.5" customHeight="1">
      <c r="A309" s="28"/>
      <c r="B309" s="63"/>
      <c r="C309" s="187" t="s">
        <v>65</v>
      </c>
      <c r="D309" s="185"/>
      <c r="E309" s="185"/>
      <c r="F309" s="185"/>
      <c r="G309" s="185"/>
      <c r="H309" s="133"/>
    </row>
    <row r="310" spans="1:8" ht="25.5">
      <c r="A310" s="28">
        <f>+A305+1</f>
        <v>167</v>
      </c>
      <c r="B310" s="29" t="s">
        <v>308</v>
      </c>
      <c r="C310" s="35" t="s">
        <v>317</v>
      </c>
      <c r="D310" s="36" t="s">
        <v>18</v>
      </c>
      <c r="E310" s="37">
        <v>15.5</v>
      </c>
      <c r="F310" s="172"/>
      <c r="G310" s="38">
        <f>E310*F310</f>
        <v>0</v>
      </c>
      <c r="H310" s="133" t="s">
        <v>205</v>
      </c>
    </row>
    <row r="311" spans="1:8" ht="12.75">
      <c r="A311" s="28">
        <f>A310+1</f>
        <v>168</v>
      </c>
      <c r="B311" s="29"/>
      <c r="C311" s="149" t="s">
        <v>318</v>
      </c>
      <c r="D311" s="146" t="s">
        <v>18</v>
      </c>
      <c r="E311" s="147">
        <f>+E310</f>
        <v>15.5</v>
      </c>
      <c r="F311" s="172"/>
      <c r="G311" s="148">
        <f>E311*F311</f>
        <v>0</v>
      </c>
      <c r="H311" s="131" t="s">
        <v>205</v>
      </c>
    </row>
    <row r="312" spans="1:8" ht="39.75" customHeight="1">
      <c r="A312" s="28">
        <f aca="true" t="shared" si="26" ref="A312:A320">A311+1</f>
        <v>169</v>
      </c>
      <c r="B312" s="29"/>
      <c r="C312" s="149" t="s">
        <v>316</v>
      </c>
      <c r="D312" s="36" t="s">
        <v>18</v>
      </c>
      <c r="E312" s="37">
        <f>+E311*1.1</f>
        <v>17.05</v>
      </c>
      <c r="F312" s="172"/>
      <c r="G312" s="38">
        <f aca="true" t="shared" si="27" ref="G312:G320">E312*F312</f>
        <v>0</v>
      </c>
      <c r="H312" s="133" t="s">
        <v>205</v>
      </c>
    </row>
    <row r="313" spans="1:8" ht="12.75" customHeight="1">
      <c r="A313" s="28">
        <f t="shared" si="26"/>
        <v>170</v>
      </c>
      <c r="B313" s="75"/>
      <c r="C313" s="35" t="s">
        <v>249</v>
      </c>
      <c r="D313" s="35" t="s">
        <v>18</v>
      </c>
      <c r="E313" s="37">
        <f>+E311</f>
        <v>15.5</v>
      </c>
      <c r="F313" s="172"/>
      <c r="G313" s="38">
        <f t="shared" si="27"/>
        <v>0</v>
      </c>
      <c r="H313" s="133" t="s">
        <v>205</v>
      </c>
    </row>
    <row r="314" spans="1:8" ht="12.75" customHeight="1">
      <c r="A314" s="28">
        <f t="shared" si="26"/>
        <v>171</v>
      </c>
      <c r="B314" s="75"/>
      <c r="C314" s="35" t="s">
        <v>314</v>
      </c>
      <c r="D314" s="35" t="s">
        <v>18</v>
      </c>
      <c r="E314" s="37">
        <f>+E313</f>
        <v>15.5</v>
      </c>
      <c r="F314" s="172"/>
      <c r="G314" s="38">
        <f t="shared" si="27"/>
        <v>0</v>
      </c>
      <c r="H314" s="133" t="s">
        <v>205</v>
      </c>
    </row>
    <row r="315" spans="1:8" ht="12.75" customHeight="1">
      <c r="A315" s="28">
        <f t="shared" si="26"/>
        <v>172</v>
      </c>
      <c r="B315" s="75"/>
      <c r="C315" s="35" t="s">
        <v>312</v>
      </c>
      <c r="D315" s="35" t="s">
        <v>18</v>
      </c>
      <c r="E315" s="37">
        <f>+E314</f>
        <v>15.5</v>
      </c>
      <c r="F315" s="172"/>
      <c r="G315" s="38">
        <f t="shared" si="27"/>
        <v>0</v>
      </c>
      <c r="H315" s="133" t="s">
        <v>205</v>
      </c>
    </row>
    <row r="316" spans="1:8" ht="12.75" customHeight="1">
      <c r="A316" s="28">
        <f t="shared" si="26"/>
        <v>173</v>
      </c>
      <c r="B316" s="75"/>
      <c r="C316" s="76" t="s">
        <v>313</v>
      </c>
      <c r="D316" s="77" t="s">
        <v>18</v>
      </c>
      <c r="E316" s="78">
        <f>+E315*1.1</f>
        <v>17.05</v>
      </c>
      <c r="F316" s="173"/>
      <c r="G316" s="79">
        <f t="shared" si="27"/>
        <v>0</v>
      </c>
      <c r="H316" s="133" t="s">
        <v>205</v>
      </c>
    </row>
    <row r="317" spans="1:8" ht="12.75">
      <c r="A317" s="28">
        <f t="shared" si="26"/>
        <v>174</v>
      </c>
      <c r="B317" s="29" t="s">
        <v>198</v>
      </c>
      <c r="C317" s="35" t="s">
        <v>248</v>
      </c>
      <c r="D317" s="36" t="s">
        <v>21</v>
      </c>
      <c r="E317" s="37">
        <f>22.7-0.8</f>
        <v>21.9</v>
      </c>
      <c r="F317" s="172"/>
      <c r="G317" s="38">
        <f t="shared" si="27"/>
        <v>0</v>
      </c>
      <c r="H317" s="133" t="s">
        <v>205</v>
      </c>
    </row>
    <row r="318" spans="1:8" ht="12.75">
      <c r="A318" s="28">
        <f t="shared" si="26"/>
        <v>175</v>
      </c>
      <c r="B318" s="75" t="s">
        <v>197</v>
      </c>
      <c r="C318" s="76" t="s">
        <v>185</v>
      </c>
      <c r="D318" s="77" t="s">
        <v>21</v>
      </c>
      <c r="E318" s="78">
        <f>+E317*1.1</f>
        <v>24.09</v>
      </c>
      <c r="F318" s="173"/>
      <c r="G318" s="79">
        <f>E318*F318</f>
        <v>0</v>
      </c>
      <c r="H318" s="133" t="s">
        <v>205</v>
      </c>
    </row>
    <row r="319" spans="1:8" ht="25.5">
      <c r="A319" s="28">
        <f t="shared" si="26"/>
        <v>176</v>
      </c>
      <c r="B319" s="29" t="s">
        <v>250</v>
      </c>
      <c r="C319" s="35" t="s">
        <v>192</v>
      </c>
      <c r="D319" s="36" t="s">
        <v>21</v>
      </c>
      <c r="E319" s="37">
        <v>0.8</v>
      </c>
      <c r="F319" s="172"/>
      <c r="G319" s="38">
        <f t="shared" si="27"/>
        <v>0</v>
      </c>
      <c r="H319" s="133" t="s">
        <v>205</v>
      </c>
    </row>
    <row r="320" spans="1:8" ht="13.5" thickBot="1">
      <c r="A320" s="28">
        <f t="shared" si="26"/>
        <v>177</v>
      </c>
      <c r="B320" s="29"/>
      <c r="C320" s="35" t="s">
        <v>45</v>
      </c>
      <c r="D320" s="32" t="s">
        <v>26</v>
      </c>
      <c r="E320" s="37">
        <f>+G311+G312+G313+G314+G316+G318+G319</f>
        <v>0</v>
      </c>
      <c r="F320" s="174"/>
      <c r="G320" s="30">
        <f t="shared" si="27"/>
        <v>0</v>
      </c>
      <c r="H320" s="133" t="s">
        <v>205</v>
      </c>
    </row>
    <row r="321" spans="1:7" ht="13.5" thickBot="1">
      <c r="A321" s="28"/>
      <c r="B321" s="29"/>
      <c r="C321" s="46" t="s">
        <v>19</v>
      </c>
      <c r="D321" s="47"/>
      <c r="E321" s="48"/>
      <c r="F321" s="48"/>
      <c r="G321" s="45">
        <f>SUBTOTAL(9,G310:G320)</f>
        <v>0</v>
      </c>
    </row>
    <row r="322" spans="1:8" ht="12.75">
      <c r="A322" s="28"/>
      <c r="B322" s="29"/>
      <c r="C322" s="33"/>
      <c r="D322" s="32"/>
      <c r="E322" s="31"/>
      <c r="F322" s="30"/>
      <c r="G322" s="30"/>
      <c r="H322" s="133"/>
    </row>
    <row r="323" spans="1:7" ht="15" customHeight="1">
      <c r="A323" s="12"/>
      <c r="B323" s="63">
        <v>3</v>
      </c>
      <c r="C323" s="183" t="s">
        <v>35</v>
      </c>
      <c r="D323" s="183"/>
      <c r="E323" s="183"/>
      <c r="F323" s="183"/>
      <c r="G323" s="183"/>
    </row>
    <row r="324" spans="1:8" ht="12.75">
      <c r="A324" s="28">
        <f>A320+1</f>
        <v>178</v>
      </c>
      <c r="B324" s="29" t="s">
        <v>251</v>
      </c>
      <c r="C324" s="35" t="s">
        <v>107</v>
      </c>
      <c r="D324" s="36" t="s">
        <v>20</v>
      </c>
      <c r="E324" s="37">
        <v>1</v>
      </c>
      <c r="F324" s="172"/>
      <c r="G324" s="38">
        <f>E324*F324</f>
        <v>0</v>
      </c>
      <c r="H324" s="133" t="s">
        <v>214</v>
      </c>
    </row>
    <row r="325" spans="1:8" ht="12.75">
      <c r="A325" s="28">
        <f>A324+1</f>
        <v>179</v>
      </c>
      <c r="B325" s="29"/>
      <c r="C325" s="35" t="s">
        <v>164</v>
      </c>
      <c r="D325" s="36" t="s">
        <v>17</v>
      </c>
      <c r="E325" s="37">
        <v>1</v>
      </c>
      <c r="F325" s="172"/>
      <c r="G325" s="38">
        <f>E325*F325</f>
        <v>0</v>
      </c>
      <c r="H325" s="133" t="s">
        <v>214</v>
      </c>
    </row>
    <row r="326" spans="1:8" ht="13.5" thickBot="1">
      <c r="A326" s="28">
        <f>A325+1</f>
        <v>180</v>
      </c>
      <c r="B326" s="29"/>
      <c r="C326" s="35" t="s">
        <v>93</v>
      </c>
      <c r="D326" s="36" t="s">
        <v>17</v>
      </c>
      <c r="E326" s="37">
        <v>1</v>
      </c>
      <c r="F326" s="172"/>
      <c r="G326" s="38">
        <f>E326*F326</f>
        <v>0</v>
      </c>
      <c r="H326" s="133" t="s">
        <v>205</v>
      </c>
    </row>
    <row r="327" spans="3:7" ht="13.5" thickBot="1">
      <c r="C327" s="46" t="s">
        <v>19</v>
      </c>
      <c r="D327" s="47"/>
      <c r="E327" s="48"/>
      <c r="F327" s="48"/>
      <c r="G327" s="49">
        <f>SUBTOTAL(9,G324:G326)</f>
        <v>0</v>
      </c>
    </row>
    <row r="328" spans="3:7" ht="12.75">
      <c r="C328" s="13"/>
      <c r="D328" s="14"/>
      <c r="E328" s="20"/>
      <c r="F328" s="20"/>
      <c r="G328" s="15"/>
    </row>
  </sheetData>
  <sheetProtection password="C4F8" sheet="1" selectLockedCells="1"/>
  <mergeCells count="45">
    <mergeCell ref="C135:G135"/>
    <mergeCell ref="C231:G231"/>
    <mergeCell ref="C68:G68"/>
    <mergeCell ref="C104:G104"/>
    <mergeCell ref="C121:G121"/>
    <mergeCell ref="C103:G103"/>
    <mergeCell ref="C122:G122"/>
    <mergeCell ref="C134:G134"/>
    <mergeCell ref="C189:G189"/>
    <mergeCell ref="C230:G230"/>
    <mergeCell ref="C5:G5"/>
    <mergeCell ref="C6:G6"/>
    <mergeCell ref="C57:G57"/>
    <mergeCell ref="C58:G58"/>
    <mergeCell ref="C59:G59"/>
    <mergeCell ref="C61:G61"/>
    <mergeCell ref="C60:G60"/>
    <mergeCell ref="F28:G28"/>
    <mergeCell ref="F38:G38"/>
    <mergeCell ref="C204:G204"/>
    <mergeCell ref="C62:G62"/>
    <mergeCell ref="C64:G64"/>
    <mergeCell ref="C76:G76"/>
    <mergeCell ref="C73:G73"/>
    <mergeCell ref="C74:G74"/>
    <mergeCell ref="C70:G70"/>
    <mergeCell ref="C71:G71"/>
    <mergeCell ref="C63:G63"/>
    <mergeCell ref="C66:G66"/>
    <mergeCell ref="C262:G262"/>
    <mergeCell ref="C237:G237"/>
    <mergeCell ref="C277:G277"/>
    <mergeCell ref="C263:G263"/>
    <mergeCell ref="C243:G243"/>
    <mergeCell ref="C309:G309"/>
    <mergeCell ref="C323:G323"/>
    <mergeCell ref="C308:G308"/>
    <mergeCell ref="C278:G278"/>
    <mergeCell ref="C167:G167"/>
    <mergeCell ref="C188:G188"/>
    <mergeCell ref="C203:G203"/>
    <mergeCell ref="C242:G242"/>
    <mergeCell ref="C288:G288"/>
    <mergeCell ref="C289:G289"/>
    <mergeCell ref="C236:G236"/>
  </mergeCells>
  <conditionalFormatting sqref="C56 D64">
    <cfRule type="expression" priority="102" dxfId="3" stopIfTrue="1">
      <formula>ISTEXT(C56)</formula>
    </cfRule>
  </conditionalFormatting>
  <conditionalFormatting sqref="E64:G64">
    <cfRule type="expression" priority="103" dxfId="3" stopIfTrue="1">
      <formula>ISNUMBER(E64)</formula>
    </cfRule>
  </conditionalFormatting>
  <hyperlinks>
    <hyperlink ref="C12" location="Kapitola_2" display="Kapitola_2"/>
    <hyperlink ref="C11" location="Kapitola_1" display="Kapitola_1"/>
    <hyperlink ref="C103:G103" location="Rekapitulace_2" display="Stropní deska v úrovni terénu"/>
    <hyperlink ref="C26" location="Dokoncovaci_prace" display="Dokoncovaci_prace"/>
    <hyperlink ref="C76:G76" location="Rekapitulace_1" display="Bourací a přípravné práce"/>
    <hyperlink ref="C121:G121" location="Rekapitulace_2b" display="Živičné izolace"/>
    <hyperlink ref="C134:G134" location="Rekapitulace_2c" display="Povlakové izolace proti vodě"/>
    <hyperlink ref="C166:G166" location="Rekapitulace_2d" display="Izolace tepelné"/>
    <hyperlink ref="C188:G188" location="Rekapitulace_2e" display="Kanalizace"/>
    <hyperlink ref="C203:G203"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8" location="Kapitola_2f" display="Kapitola_2f"/>
    <hyperlink ref="C19" location="Kapitola_2g" display="Kapitola_2g"/>
    <hyperlink ref="C230:G230" location="Rekapitulace_2g" display="Elektroinstalace - silnoproud"/>
    <hyperlink ref="C242:G242" location="Rekapitulace_2i" display="Vzduchotechnika"/>
    <hyperlink ref="C236:G236" location="Rekapitulace_2h" display="Elektroinstalace - slaboproud"/>
    <hyperlink ref="C262:G262" location="Rekapitulace_2j" display="Konstrukce truhlářské"/>
    <hyperlink ref="C277:G277" location="Rekapitulace_2k" display="Konstrukce zámečnické"/>
    <hyperlink ref="C288:G288" location="Rekapitulace_2l" display="Podlahy z dlaždic"/>
    <hyperlink ref="C308:G308" location="Rekapitulace_2m" display="Podlahy povlakové"/>
    <hyperlink ref="C20:C25" location="Kapitola_2g" display="Kapitola_2g"/>
    <hyperlink ref="C20" location="Kapitola_2h" display="Kapitola_2h"/>
    <hyperlink ref="C21" location="Kapitola_2i" display="Kapitola_2i"/>
    <hyperlink ref="C22" location="Kapitola_2j" display="Kapitola_2j"/>
    <hyperlink ref="C23" location="Kapitola_2k" display="Kapitola_2k"/>
    <hyperlink ref="C24" location="Kapitola_2l" display="Kapitola_2l"/>
    <hyperlink ref="C25" location="Kapitola_2m" display="Kapitola_2m"/>
    <hyperlink ref="C323:G323" location="Rekapitulace_Dokončovací_práce" display="Dokončovací práce"/>
    <hyperlink ref="N246" r:id="rId1" display="https://www.ventila-vzduchotechnika.cz/ventilator/ventilatory/koupelnove-ventilatory/koupelnove-ventilatory-vysokotlake--radialni/radialni-ventilatory-do-koupelny-vortice/radialni-ventilatory-do-koupelny-vortice-quadro--zapusteny/produkt/radialni-ventilator-do-koupelny-vortice-quadro-medio-i"/>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2"/>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M100"/>
  <sheetViews>
    <sheetView zoomScalePageLayoutView="0" workbookViewId="0" topLeftCell="A77">
      <selection activeCell="K8" sqref="K8"/>
    </sheetView>
  </sheetViews>
  <sheetFormatPr defaultColWidth="9.00390625" defaultRowHeight="12.75"/>
  <cols>
    <col min="1" max="1" width="4.75390625" style="92" customWidth="1"/>
    <col min="2" max="2" width="9.375" style="92" customWidth="1"/>
    <col min="3" max="3" width="43.875" style="0" customWidth="1"/>
    <col min="4" max="5" width="4.625" style="0" customWidth="1"/>
    <col min="6" max="6" width="7.625" style="0" customWidth="1"/>
    <col min="7" max="7" width="9.875" style="0" customWidth="1"/>
    <col min="8" max="8" width="9.375" style="0" customWidth="1"/>
    <col min="9" max="9" width="1.25" style="0" customWidth="1"/>
    <col min="10" max="10" width="0" style="0" hidden="1" customWidth="1"/>
    <col min="12" max="12" width="10.375" style="0" customWidth="1"/>
  </cols>
  <sheetData>
    <row r="1" spans="1:10" s="98" customFormat="1" ht="21" customHeight="1">
      <c r="A1" s="157"/>
      <c r="B1" s="205" t="s">
        <v>360</v>
      </c>
      <c r="C1" s="200"/>
      <c r="D1" s="200"/>
      <c r="E1" s="200"/>
      <c r="F1" s="200"/>
      <c r="G1" s="200"/>
      <c r="H1" s="200"/>
      <c r="I1" s="200"/>
      <c r="J1" s="200"/>
    </row>
    <row r="2" spans="1:3" s="98" customFormat="1" ht="24" customHeight="1">
      <c r="A2" s="99"/>
      <c r="B2" s="99"/>
      <c r="C2" s="100" t="s">
        <v>127</v>
      </c>
    </row>
    <row r="3" spans="1:3" s="98" customFormat="1" ht="16.5" customHeight="1">
      <c r="A3" s="99"/>
      <c r="B3" s="99"/>
      <c r="C3" s="101" t="s">
        <v>128</v>
      </c>
    </row>
    <row r="4" spans="1:10" s="98" customFormat="1" ht="11.25">
      <c r="A4" s="99"/>
      <c r="B4" s="99" t="s">
        <v>129</v>
      </c>
      <c r="C4" s="102" t="s">
        <v>130</v>
      </c>
      <c r="E4" s="99" t="s">
        <v>23</v>
      </c>
      <c r="F4" s="99" t="s">
        <v>131</v>
      </c>
      <c r="G4" s="99" t="s">
        <v>132</v>
      </c>
      <c r="H4" s="99" t="s">
        <v>24</v>
      </c>
      <c r="I4" s="99"/>
      <c r="J4" s="98" t="s">
        <v>133</v>
      </c>
    </row>
    <row r="5" spans="1:10" s="98" customFormat="1" ht="13.5" customHeight="1">
      <c r="A5" s="99">
        <v>1</v>
      </c>
      <c r="B5" s="99">
        <v>210201064</v>
      </c>
      <c r="C5" s="98" t="s">
        <v>267</v>
      </c>
      <c r="D5" s="98" t="s">
        <v>20</v>
      </c>
      <c r="E5" s="98">
        <v>1</v>
      </c>
      <c r="F5" s="180"/>
      <c r="G5" s="180"/>
      <c r="H5" s="103">
        <f>(F5+G5)*E5</f>
        <v>0</v>
      </c>
      <c r="I5" s="103"/>
      <c r="J5" s="98">
        <f>E5*F5</f>
        <v>0</v>
      </c>
    </row>
    <row r="6" spans="1:10" s="98" customFormat="1" ht="13.5" customHeight="1">
      <c r="A6" s="99">
        <f aca="true" t="shared" si="0" ref="A6:A40">A5+1</f>
        <v>2</v>
      </c>
      <c r="B6" s="99">
        <v>210201064</v>
      </c>
      <c r="C6" s="98" t="s">
        <v>134</v>
      </c>
      <c r="D6" s="98" t="s">
        <v>20</v>
      </c>
      <c r="E6" s="98">
        <v>4</v>
      </c>
      <c r="F6" s="180"/>
      <c r="G6" s="180"/>
      <c r="H6" s="103">
        <f aca="true" t="shared" si="1" ref="H6:H40">(F6+G6)*E6</f>
        <v>0</v>
      </c>
      <c r="I6" s="103"/>
      <c r="J6" s="98">
        <f aca="true" t="shared" si="2" ref="J6:J40">E6*F6</f>
        <v>0</v>
      </c>
    </row>
    <row r="7" spans="1:10" s="98" customFormat="1" ht="13.5" customHeight="1">
      <c r="A7" s="99">
        <f t="shared" si="0"/>
        <v>3</v>
      </c>
      <c r="B7" s="99">
        <v>210201064</v>
      </c>
      <c r="C7" s="98" t="s">
        <v>361</v>
      </c>
      <c r="D7" s="98" t="s">
        <v>20</v>
      </c>
      <c r="E7" s="98">
        <v>1</v>
      </c>
      <c r="F7" s="180"/>
      <c r="G7" s="180"/>
      <c r="H7" s="103">
        <f t="shared" si="1"/>
        <v>0</v>
      </c>
      <c r="I7" s="103"/>
      <c r="J7" s="98">
        <f t="shared" si="2"/>
        <v>0</v>
      </c>
    </row>
    <row r="8" spans="1:10" s="98" customFormat="1" ht="13.5" customHeight="1">
      <c r="A8" s="99">
        <f t="shared" si="0"/>
        <v>4</v>
      </c>
      <c r="B8" s="99">
        <v>210111021</v>
      </c>
      <c r="C8" s="98" t="s">
        <v>136</v>
      </c>
      <c r="D8" s="98" t="s">
        <v>20</v>
      </c>
      <c r="E8" s="98">
        <v>17</v>
      </c>
      <c r="F8" s="180"/>
      <c r="G8" s="180"/>
      <c r="H8" s="103">
        <f t="shared" si="1"/>
        <v>0</v>
      </c>
      <c r="I8" s="103"/>
      <c r="J8" s="98">
        <f t="shared" si="2"/>
        <v>0</v>
      </c>
    </row>
    <row r="9" spans="1:10" s="98" customFormat="1" ht="13.5" customHeight="1">
      <c r="A9" s="99">
        <f t="shared" si="0"/>
        <v>5</v>
      </c>
      <c r="B9" s="99">
        <v>210111011</v>
      </c>
      <c r="C9" s="98" t="s">
        <v>137</v>
      </c>
      <c r="D9" s="98" t="s">
        <v>20</v>
      </c>
      <c r="E9" s="98">
        <v>1</v>
      </c>
      <c r="F9" s="180"/>
      <c r="G9" s="180"/>
      <c r="H9" s="103">
        <f t="shared" si="1"/>
        <v>0</v>
      </c>
      <c r="I9" s="103"/>
      <c r="J9" s="98">
        <f t="shared" si="2"/>
        <v>0</v>
      </c>
    </row>
    <row r="10" spans="1:10" s="98" customFormat="1" ht="13.5" customHeight="1">
      <c r="A10" s="99">
        <f t="shared" si="0"/>
        <v>6</v>
      </c>
      <c r="B10" s="99">
        <v>210110041</v>
      </c>
      <c r="C10" s="98" t="s">
        <v>138</v>
      </c>
      <c r="D10" s="98" t="s">
        <v>20</v>
      </c>
      <c r="E10" s="98">
        <v>3</v>
      </c>
      <c r="F10" s="180"/>
      <c r="G10" s="180"/>
      <c r="H10" s="103">
        <f t="shared" si="1"/>
        <v>0</v>
      </c>
      <c r="I10" s="103"/>
      <c r="J10" s="98">
        <f t="shared" si="2"/>
        <v>0</v>
      </c>
    </row>
    <row r="11" spans="1:10" s="98" customFormat="1" ht="13.5" customHeight="1">
      <c r="A11" s="99">
        <f t="shared" si="0"/>
        <v>7</v>
      </c>
      <c r="B11" s="99">
        <v>210110043</v>
      </c>
      <c r="C11" s="98" t="s">
        <v>139</v>
      </c>
      <c r="D11" s="98" t="s">
        <v>20</v>
      </c>
      <c r="E11" s="98">
        <v>1</v>
      </c>
      <c r="F11" s="180"/>
      <c r="G11" s="180"/>
      <c r="H11" s="103">
        <f t="shared" si="1"/>
        <v>0</v>
      </c>
      <c r="I11" s="103"/>
      <c r="J11" s="98">
        <f t="shared" si="2"/>
        <v>0</v>
      </c>
    </row>
    <row r="12" spans="1:10" s="98" customFormat="1" ht="13.5" customHeight="1">
      <c r="A12" s="99">
        <f t="shared" si="0"/>
        <v>8</v>
      </c>
      <c r="B12" s="99">
        <v>210110045</v>
      </c>
      <c r="C12" s="98" t="s">
        <v>140</v>
      </c>
      <c r="D12" s="98" t="s">
        <v>20</v>
      </c>
      <c r="E12" s="98">
        <v>2</v>
      </c>
      <c r="F12" s="180"/>
      <c r="G12" s="180"/>
      <c r="H12" s="103">
        <f t="shared" si="1"/>
        <v>0</v>
      </c>
      <c r="I12" s="103"/>
      <c r="J12" s="98">
        <f t="shared" si="2"/>
        <v>0</v>
      </c>
    </row>
    <row r="13" spans="1:10" s="98" customFormat="1" ht="13.5" customHeight="1">
      <c r="A13" s="99">
        <f t="shared" si="0"/>
        <v>9</v>
      </c>
      <c r="B13" s="99">
        <v>210110046</v>
      </c>
      <c r="C13" s="98" t="s">
        <v>268</v>
      </c>
      <c r="D13" s="98" t="s">
        <v>20</v>
      </c>
      <c r="E13" s="98">
        <v>1</v>
      </c>
      <c r="F13" s="180"/>
      <c r="G13" s="180"/>
      <c r="H13" s="103">
        <f t="shared" si="1"/>
        <v>0</v>
      </c>
      <c r="I13" s="103"/>
      <c r="J13" s="98">
        <f t="shared" si="2"/>
        <v>0</v>
      </c>
    </row>
    <row r="14" spans="1:10" s="98" customFormat="1" ht="13.5" customHeight="1">
      <c r="A14" s="99">
        <f t="shared" si="0"/>
        <v>10</v>
      </c>
      <c r="B14" s="99">
        <v>210110082</v>
      </c>
      <c r="C14" s="98" t="s">
        <v>269</v>
      </c>
      <c r="D14" s="98" t="s">
        <v>20</v>
      </c>
      <c r="E14" s="98">
        <v>1</v>
      </c>
      <c r="F14" s="180"/>
      <c r="G14" s="180"/>
      <c r="H14" s="103">
        <f t="shared" si="1"/>
        <v>0</v>
      </c>
      <c r="I14" s="103"/>
      <c r="J14" s="98">
        <f t="shared" si="2"/>
        <v>0</v>
      </c>
    </row>
    <row r="15" spans="1:10" s="98" customFormat="1" ht="13.5" customHeight="1">
      <c r="A15" s="99">
        <f t="shared" si="0"/>
        <v>11</v>
      </c>
      <c r="B15" s="99" t="s">
        <v>135</v>
      </c>
      <c r="C15" s="98" t="s">
        <v>141</v>
      </c>
      <c r="D15" s="98" t="s">
        <v>20</v>
      </c>
      <c r="E15" s="98">
        <v>19</v>
      </c>
      <c r="F15" s="180"/>
      <c r="G15" s="180"/>
      <c r="H15" s="103">
        <f t="shared" si="1"/>
        <v>0</v>
      </c>
      <c r="I15" s="103"/>
      <c r="J15" s="98">
        <f t="shared" si="2"/>
        <v>0</v>
      </c>
    </row>
    <row r="16" spans="1:10" s="98" customFormat="1" ht="13.5" customHeight="1">
      <c r="A16" s="99">
        <f t="shared" si="0"/>
        <v>12</v>
      </c>
      <c r="B16" s="99" t="s">
        <v>135</v>
      </c>
      <c r="C16" s="98" t="s">
        <v>142</v>
      </c>
      <c r="D16" s="98" t="s">
        <v>20</v>
      </c>
      <c r="E16" s="98">
        <v>2</v>
      </c>
      <c r="F16" s="180"/>
      <c r="G16" s="180"/>
      <c r="H16" s="103">
        <f t="shared" si="1"/>
        <v>0</v>
      </c>
      <c r="I16" s="103"/>
      <c r="J16" s="98">
        <f t="shared" si="2"/>
        <v>0</v>
      </c>
    </row>
    <row r="17" spans="1:13" s="98" customFormat="1" ht="13.5" customHeight="1">
      <c r="A17" s="99">
        <f t="shared" si="0"/>
        <v>13</v>
      </c>
      <c r="B17" s="99" t="s">
        <v>135</v>
      </c>
      <c r="C17" s="158" t="s">
        <v>143</v>
      </c>
      <c r="D17" s="98" t="s">
        <v>20</v>
      </c>
      <c r="E17" s="158">
        <v>1</v>
      </c>
      <c r="F17" s="180"/>
      <c r="G17" s="180"/>
      <c r="H17" s="103">
        <f t="shared" si="1"/>
        <v>0</v>
      </c>
      <c r="I17" s="103"/>
      <c r="J17" s="98">
        <f t="shared" si="2"/>
        <v>0</v>
      </c>
      <c r="M17" s="159"/>
    </row>
    <row r="18" spans="1:13" s="98" customFormat="1" ht="13.5" customHeight="1">
      <c r="A18" s="99">
        <f t="shared" si="0"/>
        <v>14</v>
      </c>
      <c r="B18" s="99">
        <v>210201064</v>
      </c>
      <c r="C18" s="158" t="s">
        <v>270</v>
      </c>
      <c r="D18" s="98" t="s">
        <v>20</v>
      </c>
      <c r="E18" s="158">
        <v>1</v>
      </c>
      <c r="F18" s="180"/>
      <c r="G18" s="180"/>
      <c r="H18" s="103">
        <f t="shared" si="1"/>
        <v>0</v>
      </c>
      <c r="I18" s="103"/>
      <c r="J18" s="98">
        <f t="shared" si="2"/>
        <v>0</v>
      </c>
      <c r="M18" s="159"/>
    </row>
    <row r="19" spans="1:10" s="98" customFormat="1" ht="13.5" customHeight="1">
      <c r="A19" s="99">
        <f t="shared" si="0"/>
        <v>15</v>
      </c>
      <c r="B19" s="99">
        <v>210220321</v>
      </c>
      <c r="C19" s="98" t="s">
        <v>271</v>
      </c>
      <c r="D19" s="98" t="s">
        <v>20</v>
      </c>
      <c r="E19" s="98">
        <v>2</v>
      </c>
      <c r="F19" s="180"/>
      <c r="G19" s="180"/>
      <c r="H19" s="103">
        <f t="shared" si="1"/>
        <v>0</v>
      </c>
      <c r="I19" s="103"/>
      <c r="J19" s="98">
        <f t="shared" si="2"/>
        <v>0</v>
      </c>
    </row>
    <row r="20" spans="1:10" s="98" customFormat="1" ht="13.5" customHeight="1">
      <c r="A20" s="99">
        <f t="shared" si="0"/>
        <v>16</v>
      </c>
      <c r="B20" s="99">
        <v>210010301</v>
      </c>
      <c r="C20" s="98" t="s">
        <v>144</v>
      </c>
      <c r="D20" s="98" t="s">
        <v>20</v>
      </c>
      <c r="E20" s="98">
        <v>27</v>
      </c>
      <c r="F20" s="180"/>
      <c r="G20" s="180"/>
      <c r="H20" s="103">
        <f t="shared" si="1"/>
        <v>0</v>
      </c>
      <c r="I20" s="103"/>
      <c r="J20" s="98">
        <f t="shared" si="2"/>
        <v>0</v>
      </c>
    </row>
    <row r="21" spans="1:10" s="98" customFormat="1" ht="13.5" customHeight="1">
      <c r="A21" s="99">
        <f t="shared" si="0"/>
        <v>17</v>
      </c>
      <c r="B21" s="99">
        <v>210010321</v>
      </c>
      <c r="C21" s="98" t="s">
        <v>272</v>
      </c>
      <c r="D21" s="98" t="s">
        <v>20</v>
      </c>
      <c r="E21" s="98">
        <v>4</v>
      </c>
      <c r="F21" s="180"/>
      <c r="G21" s="180"/>
      <c r="H21" s="103">
        <f t="shared" si="1"/>
        <v>0</v>
      </c>
      <c r="I21" s="103"/>
      <c r="J21" s="98">
        <f t="shared" si="2"/>
        <v>0</v>
      </c>
    </row>
    <row r="22" spans="1:10" s="98" customFormat="1" ht="13.5" customHeight="1">
      <c r="A22" s="99">
        <f t="shared" si="0"/>
        <v>18</v>
      </c>
      <c r="B22" s="99">
        <v>211010011</v>
      </c>
      <c r="C22" s="98" t="s">
        <v>145</v>
      </c>
      <c r="D22" s="98" t="s">
        <v>20</v>
      </c>
      <c r="E22" s="98">
        <v>20</v>
      </c>
      <c r="F22" s="180"/>
      <c r="G22" s="180"/>
      <c r="H22" s="103">
        <f t="shared" si="1"/>
        <v>0</v>
      </c>
      <c r="I22" s="103"/>
      <c r="J22" s="98">
        <f t="shared" si="2"/>
        <v>0</v>
      </c>
    </row>
    <row r="23" spans="1:10" s="98" customFormat="1" ht="13.5" customHeight="1">
      <c r="A23" s="99">
        <f t="shared" si="0"/>
        <v>19</v>
      </c>
      <c r="B23" s="99">
        <v>210800117</v>
      </c>
      <c r="C23" s="98" t="s">
        <v>362</v>
      </c>
      <c r="D23" s="98" t="s">
        <v>21</v>
      </c>
      <c r="E23" s="98">
        <v>6</v>
      </c>
      <c r="F23" s="180"/>
      <c r="G23" s="180"/>
      <c r="H23" s="103">
        <f t="shared" si="1"/>
        <v>0</v>
      </c>
      <c r="I23" s="103"/>
      <c r="J23" s="98">
        <f t="shared" si="2"/>
        <v>0</v>
      </c>
    </row>
    <row r="24" spans="1:10" s="98" customFormat="1" ht="13.5" customHeight="1">
      <c r="A24" s="99">
        <f t="shared" si="0"/>
        <v>20</v>
      </c>
      <c r="B24" s="99">
        <v>210800106</v>
      </c>
      <c r="C24" s="98" t="s">
        <v>146</v>
      </c>
      <c r="D24" s="98" t="s">
        <v>21</v>
      </c>
      <c r="E24" s="98">
        <v>120</v>
      </c>
      <c r="F24" s="180"/>
      <c r="G24" s="180"/>
      <c r="H24" s="103">
        <f t="shared" si="1"/>
        <v>0</v>
      </c>
      <c r="I24" s="103"/>
      <c r="J24" s="98">
        <f t="shared" si="2"/>
        <v>0</v>
      </c>
    </row>
    <row r="25" spans="1:10" s="98" customFormat="1" ht="13.5" customHeight="1">
      <c r="A25" s="99">
        <f t="shared" si="0"/>
        <v>21</v>
      </c>
      <c r="B25" s="99">
        <v>210800105</v>
      </c>
      <c r="C25" s="98" t="s">
        <v>147</v>
      </c>
      <c r="D25" s="98" t="s">
        <v>21</v>
      </c>
      <c r="E25" s="98">
        <v>60</v>
      </c>
      <c r="F25" s="180"/>
      <c r="G25" s="180"/>
      <c r="H25" s="103">
        <f t="shared" si="1"/>
        <v>0</v>
      </c>
      <c r="I25" s="103"/>
      <c r="J25" s="98">
        <f t="shared" si="2"/>
        <v>0</v>
      </c>
    </row>
    <row r="26" spans="1:10" s="98" customFormat="1" ht="13.5" customHeight="1">
      <c r="A26" s="99">
        <f t="shared" si="0"/>
        <v>22</v>
      </c>
      <c r="B26" s="99">
        <v>210800105</v>
      </c>
      <c r="C26" s="98" t="s">
        <v>363</v>
      </c>
      <c r="D26" s="98" t="s">
        <v>21</v>
      </c>
      <c r="E26" s="98">
        <v>16</v>
      </c>
      <c r="F26" s="180"/>
      <c r="G26" s="180"/>
      <c r="H26" s="103">
        <f t="shared" si="1"/>
        <v>0</v>
      </c>
      <c r="I26" s="103"/>
      <c r="J26" s="98">
        <f t="shared" si="2"/>
        <v>0</v>
      </c>
    </row>
    <row r="27" spans="1:10" s="98" customFormat="1" ht="13.5" customHeight="1">
      <c r="A27" s="99">
        <f t="shared" si="0"/>
        <v>23</v>
      </c>
      <c r="B27" s="99">
        <v>210800566</v>
      </c>
      <c r="C27" s="98" t="s">
        <v>148</v>
      </c>
      <c r="D27" s="98" t="s">
        <v>21</v>
      </c>
      <c r="E27" s="98">
        <v>10</v>
      </c>
      <c r="F27" s="180"/>
      <c r="G27" s="180"/>
      <c r="H27" s="103">
        <f t="shared" si="1"/>
        <v>0</v>
      </c>
      <c r="I27" s="103"/>
      <c r="J27" s="98">
        <f t="shared" si="2"/>
        <v>0</v>
      </c>
    </row>
    <row r="28" spans="1:10" s="98" customFormat="1" ht="13.5" customHeight="1">
      <c r="A28" s="99">
        <f t="shared" si="0"/>
        <v>24</v>
      </c>
      <c r="B28" s="99" t="s">
        <v>135</v>
      </c>
      <c r="C28" s="98" t="s">
        <v>364</v>
      </c>
      <c r="D28" s="98" t="s">
        <v>20</v>
      </c>
      <c r="E28" s="98">
        <v>1</v>
      </c>
      <c r="F28" s="180"/>
      <c r="G28" s="180"/>
      <c r="H28" s="103">
        <f t="shared" si="1"/>
        <v>0</v>
      </c>
      <c r="I28" s="103"/>
      <c r="J28" s="98">
        <f t="shared" si="2"/>
        <v>0</v>
      </c>
    </row>
    <row r="29" spans="1:10" s="98" customFormat="1" ht="13.5" customHeight="1">
      <c r="A29" s="99">
        <f t="shared" si="0"/>
        <v>25</v>
      </c>
      <c r="B29" s="99" t="s">
        <v>135</v>
      </c>
      <c r="C29" s="98" t="s">
        <v>365</v>
      </c>
      <c r="D29" s="98" t="s">
        <v>20</v>
      </c>
      <c r="E29" s="98">
        <v>1</v>
      </c>
      <c r="F29" s="180"/>
      <c r="G29" s="180"/>
      <c r="H29" s="103">
        <f t="shared" si="1"/>
        <v>0</v>
      </c>
      <c r="I29" s="103"/>
      <c r="J29" s="98">
        <f t="shared" si="2"/>
        <v>0</v>
      </c>
    </row>
    <row r="30" spans="1:10" s="98" customFormat="1" ht="12.75" customHeight="1">
      <c r="A30" s="99">
        <f t="shared" si="0"/>
        <v>26</v>
      </c>
      <c r="B30" s="99">
        <v>210190005</v>
      </c>
      <c r="C30" s="98" t="s">
        <v>149</v>
      </c>
      <c r="D30" s="98" t="s">
        <v>20</v>
      </c>
      <c r="E30" s="98">
        <v>1</v>
      </c>
      <c r="F30" s="103"/>
      <c r="G30" s="180"/>
      <c r="H30" s="103">
        <f t="shared" si="1"/>
        <v>0</v>
      </c>
      <c r="I30" s="103"/>
      <c r="J30" s="98">
        <f t="shared" si="2"/>
        <v>0</v>
      </c>
    </row>
    <row r="31" spans="1:10" s="98" customFormat="1" ht="12.75" customHeight="1">
      <c r="A31" s="99">
        <f t="shared" si="0"/>
        <v>27</v>
      </c>
      <c r="B31" s="99">
        <v>210292041</v>
      </c>
      <c r="C31" s="98" t="s">
        <v>150</v>
      </c>
      <c r="D31" s="98" t="s">
        <v>20</v>
      </c>
      <c r="E31" s="98">
        <v>26</v>
      </c>
      <c r="F31" s="103"/>
      <c r="G31" s="180"/>
      <c r="H31" s="103">
        <f t="shared" si="1"/>
        <v>0</v>
      </c>
      <c r="I31" s="103"/>
      <c r="J31" s="98">
        <f t="shared" si="2"/>
        <v>0</v>
      </c>
    </row>
    <row r="32" spans="1:10" s="98" customFormat="1" ht="12.75" customHeight="1">
      <c r="A32" s="99">
        <f t="shared" si="0"/>
        <v>28</v>
      </c>
      <c r="B32" s="99">
        <v>210040512</v>
      </c>
      <c r="C32" s="98" t="s">
        <v>273</v>
      </c>
      <c r="D32" s="98" t="s">
        <v>20</v>
      </c>
      <c r="E32" s="98">
        <v>45</v>
      </c>
      <c r="F32" s="103"/>
      <c r="G32" s="180"/>
      <c r="H32" s="103">
        <f t="shared" si="1"/>
        <v>0</v>
      </c>
      <c r="I32" s="103"/>
      <c r="J32" s="98">
        <f t="shared" si="2"/>
        <v>0</v>
      </c>
    </row>
    <row r="33" spans="1:10" s="98" customFormat="1" ht="12.75" customHeight="1">
      <c r="A33" s="99">
        <f t="shared" si="0"/>
        <v>29</v>
      </c>
      <c r="B33" s="99">
        <v>974031122</v>
      </c>
      <c r="C33" s="98" t="s">
        <v>274</v>
      </c>
      <c r="D33" s="98" t="s">
        <v>21</v>
      </c>
      <c r="E33" s="98">
        <v>60</v>
      </c>
      <c r="F33" s="103"/>
      <c r="G33" s="180"/>
      <c r="H33" s="103">
        <f t="shared" si="1"/>
        <v>0</v>
      </c>
      <c r="I33" s="103"/>
      <c r="J33" s="98">
        <f t="shared" si="2"/>
        <v>0</v>
      </c>
    </row>
    <row r="34" spans="1:10" s="98" customFormat="1" ht="12.75" customHeight="1">
      <c r="A34" s="99">
        <f t="shared" si="0"/>
        <v>30</v>
      </c>
      <c r="B34" s="99">
        <v>210040721</v>
      </c>
      <c r="C34" s="98" t="s">
        <v>275</v>
      </c>
      <c r="D34" s="98" t="s">
        <v>20</v>
      </c>
      <c r="E34" s="98">
        <v>4</v>
      </c>
      <c r="F34" s="103"/>
      <c r="G34" s="180"/>
      <c r="H34" s="103">
        <f t="shared" si="1"/>
        <v>0</v>
      </c>
      <c r="I34" s="103"/>
      <c r="J34" s="98">
        <f t="shared" si="2"/>
        <v>0</v>
      </c>
    </row>
    <row r="35" spans="1:10" s="98" customFormat="1" ht="12.75" customHeight="1">
      <c r="A35" s="99">
        <f t="shared" si="0"/>
        <v>31</v>
      </c>
      <c r="B35" s="99">
        <v>973033141</v>
      </c>
      <c r="C35" s="98" t="s">
        <v>276</v>
      </c>
      <c r="D35" s="98" t="s">
        <v>20</v>
      </c>
      <c r="E35" s="98">
        <v>31</v>
      </c>
      <c r="F35" s="103"/>
      <c r="G35" s="180"/>
      <c r="H35" s="103">
        <f t="shared" si="1"/>
        <v>0</v>
      </c>
      <c r="I35" s="103"/>
      <c r="J35" s="98">
        <f t="shared" si="2"/>
        <v>0</v>
      </c>
    </row>
    <row r="36" spans="1:10" s="98" customFormat="1" ht="12.75" customHeight="1">
      <c r="A36" s="99">
        <f t="shared" si="0"/>
        <v>32</v>
      </c>
      <c r="B36" s="99" t="s">
        <v>135</v>
      </c>
      <c r="C36" s="98" t="s">
        <v>366</v>
      </c>
      <c r="D36" s="98" t="s">
        <v>20</v>
      </c>
      <c r="E36" s="98">
        <v>1</v>
      </c>
      <c r="F36" s="103"/>
      <c r="G36" s="180"/>
      <c r="H36" s="103">
        <f t="shared" si="1"/>
        <v>0</v>
      </c>
      <c r="I36" s="103"/>
      <c r="J36" s="98">
        <f t="shared" si="2"/>
        <v>0</v>
      </c>
    </row>
    <row r="37" spans="1:10" s="98" customFormat="1" ht="12.75" customHeight="1">
      <c r="A37" s="99">
        <f t="shared" si="0"/>
        <v>33</v>
      </c>
      <c r="B37" s="99" t="s">
        <v>135</v>
      </c>
      <c r="C37" s="98" t="s">
        <v>367</v>
      </c>
      <c r="D37" s="98" t="s">
        <v>20</v>
      </c>
      <c r="E37" s="98">
        <v>2</v>
      </c>
      <c r="F37" s="103"/>
      <c r="G37" s="180"/>
      <c r="H37" s="103">
        <f t="shared" si="1"/>
        <v>0</v>
      </c>
      <c r="I37" s="103"/>
      <c r="J37" s="98">
        <f t="shared" si="2"/>
        <v>0</v>
      </c>
    </row>
    <row r="38" spans="1:9" s="98" customFormat="1" ht="12.75" customHeight="1">
      <c r="A38" s="99">
        <f t="shared" si="0"/>
        <v>34</v>
      </c>
      <c r="B38" s="99" t="s">
        <v>135</v>
      </c>
      <c r="C38" s="98" t="s">
        <v>151</v>
      </c>
      <c r="D38" s="98" t="s">
        <v>152</v>
      </c>
      <c r="E38" s="98">
        <v>1</v>
      </c>
      <c r="F38" s="103"/>
      <c r="G38" s="180"/>
      <c r="H38" s="103">
        <f t="shared" si="1"/>
        <v>0</v>
      </c>
      <c r="I38" s="103"/>
    </row>
    <row r="39" spans="1:9" s="98" customFormat="1" ht="12.75" customHeight="1">
      <c r="A39" s="99">
        <f t="shared" si="0"/>
        <v>35</v>
      </c>
      <c r="B39" s="99" t="s">
        <v>25</v>
      </c>
      <c r="C39" s="98" t="s">
        <v>277</v>
      </c>
      <c r="D39" s="98" t="s">
        <v>153</v>
      </c>
      <c r="E39" s="98">
        <v>12</v>
      </c>
      <c r="F39" s="103"/>
      <c r="G39" s="180"/>
      <c r="H39" s="103">
        <f t="shared" si="1"/>
        <v>0</v>
      </c>
      <c r="I39" s="103"/>
    </row>
    <row r="40" spans="1:10" s="98" customFormat="1" ht="12.75" customHeight="1">
      <c r="A40" s="99">
        <f t="shared" si="0"/>
        <v>36</v>
      </c>
      <c r="B40" s="99" t="s">
        <v>25</v>
      </c>
      <c r="C40" s="98" t="s">
        <v>154</v>
      </c>
      <c r="D40" s="98" t="s">
        <v>153</v>
      </c>
      <c r="E40" s="98">
        <v>12</v>
      </c>
      <c r="F40" s="103"/>
      <c r="G40" s="180"/>
      <c r="H40" s="103">
        <f t="shared" si="1"/>
        <v>0</v>
      </c>
      <c r="I40" s="103"/>
      <c r="J40" s="98">
        <f t="shared" si="2"/>
        <v>0</v>
      </c>
    </row>
    <row r="41" spans="1:10" s="98" customFormat="1" ht="12.75" customHeight="1">
      <c r="A41" s="99"/>
      <c r="B41" s="99"/>
      <c r="C41" s="102" t="s">
        <v>155</v>
      </c>
      <c r="F41" s="103"/>
      <c r="G41" s="103"/>
      <c r="H41" s="104">
        <f>SUM(H5:H40)</f>
        <v>0</v>
      </c>
      <c r="I41" s="104"/>
      <c r="J41" s="98">
        <f>SUM(J5:J40)</f>
        <v>0</v>
      </c>
    </row>
    <row r="42" spans="1:9" s="98" customFormat="1" ht="12.75" customHeight="1">
      <c r="A42" s="99"/>
      <c r="B42" s="99"/>
      <c r="C42" s="102"/>
      <c r="F42" s="103"/>
      <c r="G42" s="103"/>
      <c r="H42" s="104"/>
      <c r="I42" s="104"/>
    </row>
    <row r="43" spans="1:9" s="98" customFormat="1" ht="12.75" customHeight="1">
      <c r="A43" s="99"/>
      <c r="B43" s="99"/>
      <c r="C43" s="102"/>
      <c r="F43" s="103"/>
      <c r="G43" s="103"/>
      <c r="H43" s="104"/>
      <c r="I43" s="104"/>
    </row>
    <row r="44" spans="1:9" s="98" customFormat="1" ht="12.75" customHeight="1">
      <c r="A44" s="99"/>
      <c r="B44" s="99"/>
      <c r="C44" s="102" t="s">
        <v>156</v>
      </c>
      <c r="F44" s="103"/>
      <c r="G44" s="103"/>
      <c r="H44" s="103"/>
      <c r="I44" s="103"/>
    </row>
    <row r="45" spans="1:10" s="98" customFormat="1" ht="12.75" customHeight="1">
      <c r="A45" s="99">
        <v>1</v>
      </c>
      <c r="B45" s="99"/>
      <c r="C45" s="98" t="s">
        <v>368</v>
      </c>
      <c r="D45" s="98" t="s">
        <v>20</v>
      </c>
      <c r="E45" s="98">
        <v>1</v>
      </c>
      <c r="F45" s="180"/>
      <c r="G45" s="103"/>
      <c r="H45" s="103">
        <f aca="true" t="shared" si="3" ref="H45:H54">(F45+G45)*E45</f>
        <v>0</v>
      </c>
      <c r="I45" s="103"/>
      <c r="J45" s="98">
        <f>E45*F45</f>
        <v>0</v>
      </c>
    </row>
    <row r="46" spans="1:10" s="98" customFormat="1" ht="12.75" customHeight="1">
      <c r="A46" s="99">
        <f>A45+1</f>
        <v>2</v>
      </c>
      <c r="B46" s="99"/>
      <c r="C46" s="98" t="s">
        <v>278</v>
      </c>
      <c r="D46" s="98" t="s">
        <v>20</v>
      </c>
      <c r="E46" s="98">
        <v>1</v>
      </c>
      <c r="F46" s="180"/>
      <c r="G46" s="103"/>
      <c r="H46" s="103">
        <f t="shared" si="3"/>
        <v>0</v>
      </c>
      <c r="I46" s="103"/>
      <c r="J46" s="98">
        <f aca="true" t="shared" si="4" ref="J46:J54">E46*F46</f>
        <v>0</v>
      </c>
    </row>
    <row r="47" spans="1:9" s="98" customFormat="1" ht="12.75" customHeight="1">
      <c r="A47" s="99">
        <f aca="true" t="shared" si="5" ref="A47:A54">A46+1</f>
        <v>3</v>
      </c>
      <c r="B47" s="99"/>
      <c r="C47" s="98" t="s">
        <v>157</v>
      </c>
      <c r="D47" s="98" t="s">
        <v>20</v>
      </c>
      <c r="E47" s="98">
        <v>1</v>
      </c>
      <c r="F47" s="180"/>
      <c r="G47" s="103"/>
      <c r="H47" s="103">
        <f>(F47+G47)*E47</f>
        <v>0</v>
      </c>
      <c r="I47" s="103"/>
    </row>
    <row r="48" spans="1:10" s="98" customFormat="1" ht="12.75" customHeight="1">
      <c r="A48" s="99">
        <f t="shared" si="5"/>
        <v>4</v>
      </c>
      <c r="B48" s="99"/>
      <c r="C48" s="98" t="s">
        <v>279</v>
      </c>
      <c r="D48" s="98" t="s">
        <v>20</v>
      </c>
      <c r="E48" s="98">
        <v>1</v>
      </c>
      <c r="F48" s="180"/>
      <c r="G48" s="103"/>
      <c r="H48" s="103">
        <f t="shared" si="3"/>
        <v>0</v>
      </c>
      <c r="I48" s="103"/>
      <c r="J48" s="98">
        <f t="shared" si="4"/>
        <v>0</v>
      </c>
    </row>
    <row r="49" spans="1:10" s="98" customFormat="1" ht="12.75" customHeight="1">
      <c r="A49" s="99">
        <f t="shared" si="5"/>
        <v>5</v>
      </c>
      <c r="B49" s="99"/>
      <c r="C49" s="98" t="s">
        <v>280</v>
      </c>
      <c r="D49" s="98" t="s">
        <v>20</v>
      </c>
      <c r="E49" s="98">
        <v>9</v>
      </c>
      <c r="F49" s="180"/>
      <c r="G49" s="103"/>
      <c r="H49" s="103">
        <f t="shared" si="3"/>
        <v>0</v>
      </c>
      <c r="I49" s="103"/>
      <c r="J49" s="98">
        <f t="shared" si="4"/>
        <v>0</v>
      </c>
    </row>
    <row r="50" spans="1:10" s="98" customFormat="1" ht="12.75" customHeight="1">
      <c r="A50" s="99">
        <f t="shared" si="5"/>
        <v>6</v>
      </c>
      <c r="B50" s="99"/>
      <c r="C50" s="98" t="s">
        <v>369</v>
      </c>
      <c r="D50" s="98" t="s">
        <v>20</v>
      </c>
      <c r="E50" s="98">
        <v>2</v>
      </c>
      <c r="F50" s="180"/>
      <c r="G50" s="103"/>
      <c r="H50" s="103">
        <f t="shared" si="3"/>
        <v>0</v>
      </c>
      <c r="I50" s="103"/>
      <c r="J50" s="98">
        <f t="shared" si="4"/>
        <v>0</v>
      </c>
    </row>
    <row r="51" spans="1:9" s="98" customFormat="1" ht="12.75" customHeight="1">
      <c r="A51" s="99">
        <f t="shared" si="5"/>
        <v>7</v>
      </c>
      <c r="B51" s="99"/>
      <c r="C51" s="98" t="s">
        <v>370</v>
      </c>
      <c r="D51" s="98" t="s">
        <v>20</v>
      </c>
      <c r="E51" s="98">
        <v>1</v>
      </c>
      <c r="F51" s="180"/>
      <c r="G51" s="103"/>
      <c r="H51" s="103">
        <f t="shared" si="3"/>
        <v>0</v>
      </c>
      <c r="I51" s="103"/>
    </row>
    <row r="52" spans="1:10" s="98" customFormat="1" ht="12.75" customHeight="1">
      <c r="A52" s="99">
        <f t="shared" si="5"/>
        <v>8</v>
      </c>
      <c r="B52" s="99"/>
      <c r="C52" s="98" t="s">
        <v>158</v>
      </c>
      <c r="D52" s="98" t="s">
        <v>21</v>
      </c>
      <c r="E52" s="98">
        <v>0.5</v>
      </c>
      <c r="F52" s="180"/>
      <c r="G52" s="103"/>
      <c r="H52" s="103">
        <f t="shared" si="3"/>
        <v>0</v>
      </c>
      <c r="I52" s="103"/>
      <c r="J52" s="98">
        <f t="shared" si="4"/>
        <v>0</v>
      </c>
    </row>
    <row r="53" spans="1:10" s="98" customFormat="1" ht="12.75" customHeight="1">
      <c r="A53" s="99">
        <f t="shared" si="5"/>
        <v>9</v>
      </c>
      <c r="B53" s="99"/>
      <c r="C53" s="98" t="s">
        <v>159</v>
      </c>
      <c r="D53" s="98" t="s">
        <v>17</v>
      </c>
      <c r="E53" s="98">
        <v>1</v>
      </c>
      <c r="F53" s="180"/>
      <c r="G53" s="103"/>
      <c r="H53" s="103">
        <f t="shared" si="3"/>
        <v>0</v>
      </c>
      <c r="I53" s="103"/>
      <c r="J53" s="98">
        <f t="shared" si="4"/>
        <v>0</v>
      </c>
    </row>
    <row r="54" spans="1:10" s="98" customFormat="1" ht="12.75" customHeight="1">
      <c r="A54" s="99">
        <f t="shared" si="5"/>
        <v>10</v>
      </c>
      <c r="B54" s="99"/>
      <c r="C54" s="98" t="s">
        <v>160</v>
      </c>
      <c r="D54" s="98" t="s">
        <v>17</v>
      </c>
      <c r="E54" s="98">
        <v>1</v>
      </c>
      <c r="F54" s="103"/>
      <c r="G54" s="180"/>
      <c r="H54" s="103">
        <f t="shared" si="3"/>
        <v>0</v>
      </c>
      <c r="I54" s="103"/>
      <c r="J54" s="98">
        <f t="shared" si="4"/>
        <v>0</v>
      </c>
    </row>
    <row r="55" spans="1:10" s="98" customFormat="1" ht="12.75" customHeight="1">
      <c r="A55" s="99"/>
      <c r="B55" s="99"/>
      <c r="C55" s="102" t="s">
        <v>161</v>
      </c>
      <c r="H55" s="104">
        <f>SUM(H45:H54)</f>
        <v>0</v>
      </c>
      <c r="I55" s="104"/>
      <c r="J55" s="98">
        <f>SUM(J45:J54)</f>
        <v>0</v>
      </c>
    </row>
    <row r="56" spans="1:9" s="98" customFormat="1" ht="12.75" customHeight="1">
      <c r="A56" s="99"/>
      <c r="B56" s="99"/>
      <c r="C56" s="102"/>
      <c r="H56" s="104"/>
      <c r="I56" s="104"/>
    </row>
    <row r="57" spans="1:9" s="98" customFormat="1" ht="12.75" customHeight="1">
      <c r="A57" s="99"/>
      <c r="B57" s="99"/>
      <c r="C57" s="102"/>
      <c r="H57" s="104"/>
      <c r="I57" s="104"/>
    </row>
    <row r="58" spans="1:9" s="98" customFormat="1" ht="12.75" customHeight="1">
      <c r="A58" s="99"/>
      <c r="B58" s="99"/>
      <c r="C58" s="102"/>
      <c r="H58" s="104"/>
      <c r="I58" s="104"/>
    </row>
    <row r="59" spans="1:9" s="98" customFormat="1" ht="12.75" customHeight="1">
      <c r="A59" s="99"/>
      <c r="B59" s="99"/>
      <c r="C59" s="102"/>
      <c r="H59" s="104"/>
      <c r="I59" s="104"/>
    </row>
    <row r="60" spans="1:9" s="98" customFormat="1" ht="18" customHeight="1">
      <c r="A60" s="99"/>
      <c r="B60" s="99"/>
      <c r="C60" s="101" t="s">
        <v>162</v>
      </c>
      <c r="H60" s="104"/>
      <c r="I60" s="104"/>
    </row>
    <row r="61" spans="1:9" s="98" customFormat="1" ht="12.75" customHeight="1">
      <c r="A61" s="99"/>
      <c r="B61" s="99"/>
      <c r="C61" s="102" t="s">
        <v>130</v>
      </c>
      <c r="E61" s="99" t="s">
        <v>23</v>
      </c>
      <c r="F61" s="99" t="s">
        <v>131</v>
      </c>
      <c r="G61" s="99" t="s">
        <v>132</v>
      </c>
      <c r="H61" s="99" t="s">
        <v>24</v>
      </c>
      <c r="I61" s="104"/>
    </row>
    <row r="62" spans="1:9" s="98" customFormat="1" ht="12.75" customHeight="1">
      <c r="A62" s="99">
        <v>1</v>
      </c>
      <c r="B62" s="99">
        <v>210111012</v>
      </c>
      <c r="C62" s="98" t="s">
        <v>281</v>
      </c>
      <c r="D62" s="98" t="s">
        <v>20</v>
      </c>
      <c r="E62" s="98">
        <v>1</v>
      </c>
      <c r="F62" s="180"/>
      <c r="G62" s="180"/>
      <c r="H62" s="103">
        <f aca="true" t="shared" si="6" ref="H62:H72">(F62+G62)*E62</f>
        <v>0</v>
      </c>
      <c r="I62" s="104"/>
    </row>
    <row r="63" spans="1:9" s="98" customFormat="1" ht="12.75" customHeight="1">
      <c r="A63" s="99">
        <f>A62+1</f>
        <v>2</v>
      </c>
      <c r="B63" s="99" t="s">
        <v>135</v>
      </c>
      <c r="C63" s="98" t="s">
        <v>371</v>
      </c>
      <c r="D63" s="98" t="s">
        <v>20</v>
      </c>
      <c r="E63" s="98">
        <v>1</v>
      </c>
      <c r="F63" s="180"/>
      <c r="G63" s="180"/>
      <c r="H63" s="103">
        <f t="shared" si="6"/>
        <v>0</v>
      </c>
      <c r="I63" s="104"/>
    </row>
    <row r="64" spans="1:10" s="98" customFormat="1" ht="12.75" customHeight="1">
      <c r="A64" s="99">
        <f aca="true" t="shared" si="7" ref="A64:A72">A63+1</f>
        <v>3</v>
      </c>
      <c r="B64" s="99">
        <v>210010301</v>
      </c>
      <c r="C64" s="98" t="s">
        <v>282</v>
      </c>
      <c r="D64" s="98" t="s">
        <v>20</v>
      </c>
      <c r="E64" s="98">
        <v>2</v>
      </c>
      <c r="F64" s="180"/>
      <c r="G64" s="180"/>
      <c r="H64" s="103">
        <f t="shared" si="6"/>
        <v>0</v>
      </c>
      <c r="I64" s="103"/>
      <c r="J64" s="98">
        <f>E64*F64</f>
        <v>0</v>
      </c>
    </row>
    <row r="65" spans="1:9" s="98" customFormat="1" ht="12.75" customHeight="1">
      <c r="A65" s="99">
        <f t="shared" si="7"/>
        <v>4</v>
      </c>
      <c r="B65" s="99">
        <v>210010321</v>
      </c>
      <c r="C65" s="98" t="s">
        <v>372</v>
      </c>
      <c r="D65" s="98" t="s">
        <v>20</v>
      </c>
      <c r="E65" s="98">
        <v>2</v>
      </c>
      <c r="F65" s="180"/>
      <c r="G65" s="180"/>
      <c r="H65" s="103">
        <f t="shared" si="6"/>
        <v>0</v>
      </c>
      <c r="I65" s="103"/>
    </row>
    <row r="66" spans="1:9" s="98" customFormat="1" ht="12.75" customHeight="1">
      <c r="A66" s="99">
        <f t="shared" si="7"/>
        <v>5</v>
      </c>
      <c r="B66" s="99">
        <v>210800549</v>
      </c>
      <c r="C66" s="98" t="s">
        <v>283</v>
      </c>
      <c r="D66" s="98" t="s">
        <v>21</v>
      </c>
      <c r="E66" s="98">
        <v>12</v>
      </c>
      <c r="F66" s="180"/>
      <c r="G66" s="180"/>
      <c r="H66" s="103">
        <f t="shared" si="6"/>
        <v>0</v>
      </c>
      <c r="I66" s="103"/>
    </row>
    <row r="67" spans="1:9" s="98" customFormat="1" ht="12.75" customHeight="1">
      <c r="A67" s="99">
        <f t="shared" si="7"/>
        <v>6</v>
      </c>
      <c r="B67" s="99">
        <v>210800549</v>
      </c>
      <c r="C67" s="98" t="s">
        <v>373</v>
      </c>
      <c r="D67" s="98" t="s">
        <v>21</v>
      </c>
      <c r="E67" s="98">
        <v>10</v>
      </c>
      <c r="F67" s="180"/>
      <c r="G67" s="180"/>
      <c r="H67" s="103">
        <f t="shared" si="6"/>
        <v>0</v>
      </c>
      <c r="I67" s="103"/>
    </row>
    <row r="68" spans="1:10" s="98" customFormat="1" ht="12.75" customHeight="1">
      <c r="A68" s="99">
        <f t="shared" si="7"/>
        <v>7</v>
      </c>
      <c r="B68" s="99">
        <v>210010003</v>
      </c>
      <c r="C68" s="98" t="s">
        <v>284</v>
      </c>
      <c r="D68" s="98" t="s">
        <v>21</v>
      </c>
      <c r="E68" s="98">
        <v>12</v>
      </c>
      <c r="F68" s="180"/>
      <c r="G68" s="180"/>
      <c r="H68" s="103">
        <f t="shared" si="6"/>
        <v>0</v>
      </c>
      <c r="I68" s="103"/>
      <c r="J68" s="98">
        <f>E68*F68</f>
        <v>0</v>
      </c>
    </row>
    <row r="69" spans="1:9" s="98" customFormat="1" ht="12.75" customHeight="1">
      <c r="A69" s="99">
        <f t="shared" si="7"/>
        <v>8</v>
      </c>
      <c r="B69" s="99">
        <v>973033141</v>
      </c>
      <c r="C69" s="98" t="s">
        <v>276</v>
      </c>
      <c r="D69" s="98" t="s">
        <v>20</v>
      </c>
      <c r="E69" s="98">
        <v>4</v>
      </c>
      <c r="F69" s="103"/>
      <c r="G69" s="180"/>
      <c r="H69" s="103">
        <f t="shared" si="6"/>
        <v>0</v>
      </c>
      <c r="I69" s="103"/>
    </row>
    <row r="70" spans="1:9" s="98" customFormat="1" ht="12.75" customHeight="1">
      <c r="A70" s="99">
        <f t="shared" si="7"/>
        <v>9</v>
      </c>
      <c r="B70" s="99">
        <v>974031122</v>
      </c>
      <c r="C70" s="98" t="s">
        <v>274</v>
      </c>
      <c r="D70" s="98" t="s">
        <v>21</v>
      </c>
      <c r="E70" s="98">
        <v>12</v>
      </c>
      <c r="F70" s="103"/>
      <c r="G70" s="180"/>
      <c r="H70" s="103">
        <f t="shared" si="6"/>
        <v>0</v>
      </c>
      <c r="I70" s="103"/>
    </row>
    <row r="71" spans="1:9" s="98" customFormat="1" ht="12.75" customHeight="1">
      <c r="A71" s="99">
        <f t="shared" si="7"/>
        <v>10</v>
      </c>
      <c r="B71" s="99">
        <v>210292041</v>
      </c>
      <c r="C71" s="98" t="s">
        <v>150</v>
      </c>
      <c r="D71" s="98" t="s">
        <v>20</v>
      </c>
      <c r="E71" s="98">
        <v>2</v>
      </c>
      <c r="F71" s="103"/>
      <c r="G71" s="180"/>
      <c r="H71" s="103">
        <f t="shared" si="6"/>
        <v>0</v>
      </c>
      <c r="I71" s="103"/>
    </row>
    <row r="72" spans="1:9" s="98" customFormat="1" ht="12.75" customHeight="1">
      <c r="A72" s="99">
        <f t="shared" si="7"/>
        <v>11</v>
      </c>
      <c r="B72" s="99">
        <v>210040721</v>
      </c>
      <c r="C72" s="98" t="s">
        <v>275</v>
      </c>
      <c r="D72" s="98" t="s">
        <v>20</v>
      </c>
      <c r="E72" s="98">
        <v>4</v>
      </c>
      <c r="F72" s="103"/>
      <c r="G72" s="180"/>
      <c r="H72" s="103">
        <f t="shared" si="6"/>
        <v>0</v>
      </c>
      <c r="I72" s="103"/>
    </row>
    <row r="73" spans="1:10" s="98" customFormat="1" ht="12.75" customHeight="1">
      <c r="A73" s="99"/>
      <c r="B73" s="99"/>
      <c r="C73" s="102" t="s">
        <v>163</v>
      </c>
      <c r="F73" s="103"/>
      <c r="G73" s="103"/>
      <c r="H73" s="104">
        <f>SUM(H62:H72)</f>
        <v>0</v>
      </c>
      <c r="I73" s="103"/>
      <c r="J73" s="98">
        <f>E73*F73</f>
        <v>0</v>
      </c>
    </row>
    <row r="74" spans="1:9" s="98" customFormat="1" ht="12.75" customHeight="1">
      <c r="A74" s="99"/>
      <c r="B74" s="99"/>
      <c r="C74" s="102"/>
      <c r="F74" s="103"/>
      <c r="G74" s="103"/>
      <c r="H74" s="104"/>
      <c r="I74" s="103"/>
    </row>
    <row r="75" spans="1:3" s="98" customFormat="1" ht="12.75" customHeight="1">
      <c r="A75" s="99"/>
      <c r="B75" s="99"/>
      <c r="C75" s="102" t="s">
        <v>115</v>
      </c>
    </row>
    <row r="76" spans="1:12" s="98" customFormat="1" ht="33.75">
      <c r="A76" s="99">
        <v>1</v>
      </c>
      <c r="B76" s="99"/>
      <c r="C76" s="105" t="s">
        <v>285</v>
      </c>
      <c r="D76" s="98" t="s">
        <v>21</v>
      </c>
      <c r="E76" s="98">
        <v>20</v>
      </c>
      <c r="F76" s="103"/>
      <c r="G76" s="180"/>
      <c r="H76" s="103">
        <f>(F76+G76)*E76</f>
        <v>0</v>
      </c>
      <c r="I76" s="106"/>
      <c r="J76" s="98">
        <f>E76*F76</f>
        <v>0</v>
      </c>
      <c r="L76" s="107"/>
    </row>
    <row r="77" spans="1:12" s="98" customFormat="1" ht="11.25">
      <c r="A77" s="99">
        <v>2</v>
      </c>
      <c r="B77" s="99"/>
      <c r="C77" s="105" t="s">
        <v>286</v>
      </c>
      <c r="D77" s="98" t="s">
        <v>17</v>
      </c>
      <c r="E77" s="98">
        <v>1</v>
      </c>
      <c r="F77" s="103"/>
      <c r="G77" s="180"/>
      <c r="H77" s="103">
        <f>(F77+G77)*E77</f>
        <v>0</v>
      </c>
      <c r="I77" s="106"/>
      <c r="J77" s="98">
        <f>E77*F77</f>
        <v>0</v>
      </c>
      <c r="L77" s="107"/>
    </row>
    <row r="78" spans="1:12" s="98" customFormat="1" ht="13.5" customHeight="1">
      <c r="A78" s="99">
        <f>A77+1</f>
        <v>3</v>
      </c>
      <c r="B78" s="99"/>
      <c r="C78" s="98" t="s">
        <v>164</v>
      </c>
      <c r="D78" s="98" t="s">
        <v>153</v>
      </c>
      <c r="E78" s="98">
        <v>4</v>
      </c>
      <c r="G78" s="181"/>
      <c r="H78" s="103">
        <f>E78*G78</f>
        <v>0</v>
      </c>
      <c r="I78" s="107"/>
      <c r="L78" s="107"/>
    </row>
    <row r="79" spans="1:10" s="98" customFormat="1" ht="13.5" customHeight="1">
      <c r="A79" s="99"/>
      <c r="B79" s="99"/>
      <c r="C79" s="102" t="s">
        <v>165</v>
      </c>
      <c r="D79" s="102"/>
      <c r="E79" s="90"/>
      <c r="F79" s="102"/>
      <c r="G79" s="102"/>
      <c r="H79" s="104">
        <f>SUM(H76:H78)</f>
        <v>0</v>
      </c>
      <c r="I79" s="107"/>
      <c r="J79" s="98">
        <f>SUM(J76:J77)</f>
        <v>0</v>
      </c>
    </row>
    <row r="80" spans="1:9" s="98" customFormat="1" ht="13.5" customHeight="1">
      <c r="A80" s="151"/>
      <c r="B80" s="151"/>
      <c r="C80" s="152"/>
      <c r="D80" s="152"/>
      <c r="E80" s="152"/>
      <c r="F80" s="102"/>
      <c r="G80" s="152"/>
      <c r="H80" s="153"/>
      <c r="I80" s="107"/>
    </row>
    <row r="81" spans="1:9" s="98" customFormat="1" ht="13.5" customHeight="1">
      <c r="A81" s="151"/>
      <c r="B81" s="151"/>
      <c r="C81" s="152"/>
      <c r="D81" s="152"/>
      <c r="E81" s="152"/>
      <c r="F81" s="102"/>
      <c r="G81" s="152"/>
      <c r="H81" s="153"/>
      <c r="I81" s="107"/>
    </row>
    <row r="82" spans="1:10" s="98" customFormat="1" ht="12.75" customHeight="1">
      <c r="A82" s="99"/>
      <c r="B82" s="99"/>
      <c r="C82" s="102" t="s">
        <v>166</v>
      </c>
      <c r="H82" s="104">
        <f>H79+H73+H55+H41</f>
        <v>0</v>
      </c>
      <c r="I82" s="104"/>
      <c r="J82" s="104" t="e">
        <f>#REF!+J55+J41+J79</f>
        <v>#REF!</v>
      </c>
    </row>
    <row r="83" spans="1:10" s="98" customFormat="1" ht="12.75" customHeight="1">
      <c r="A83" s="99"/>
      <c r="B83" s="99"/>
      <c r="C83" s="102" t="s">
        <v>167</v>
      </c>
      <c r="D83" s="91">
        <v>0.15</v>
      </c>
      <c r="H83" s="104">
        <f>H82*D83</f>
        <v>0</v>
      </c>
      <c r="I83" s="104"/>
      <c r="J83" s="104"/>
    </row>
    <row r="84" spans="1:10" s="98" customFormat="1" ht="12.75" customHeight="1">
      <c r="A84" s="99"/>
      <c r="B84" s="99"/>
      <c r="C84" s="154" t="s">
        <v>168</v>
      </c>
      <c r="D84" s="155"/>
      <c r="E84" s="155"/>
      <c r="F84" s="155"/>
      <c r="G84" s="155"/>
      <c r="H84" s="156">
        <f>SUM(H82:H83)</f>
        <v>0</v>
      </c>
      <c r="I84" s="104"/>
      <c r="J84" s="104"/>
    </row>
    <row r="85" spans="1:10" s="98" customFormat="1" ht="12.75" customHeight="1">
      <c r="A85" s="99"/>
      <c r="B85" s="99"/>
      <c r="C85" s="102"/>
      <c r="H85" s="104"/>
      <c r="I85" s="104"/>
      <c r="J85" s="104"/>
    </row>
    <row r="86" spans="1:10" s="98" customFormat="1" ht="12.75" customHeight="1">
      <c r="A86" s="99"/>
      <c r="B86" s="99"/>
      <c r="C86" s="102"/>
      <c r="H86" s="104"/>
      <c r="I86" s="104"/>
      <c r="J86" s="104"/>
    </row>
    <row r="87" spans="1:3" s="98" customFormat="1" ht="13.5" customHeight="1">
      <c r="A87" s="99"/>
      <c r="B87" s="99"/>
      <c r="C87" s="102" t="s">
        <v>169</v>
      </c>
    </row>
    <row r="88" spans="1:9" s="98" customFormat="1" ht="106.5" customHeight="1">
      <c r="A88" s="99"/>
      <c r="B88" s="99"/>
      <c r="C88" s="201" t="s">
        <v>170</v>
      </c>
      <c r="D88" s="201"/>
      <c r="E88" s="201"/>
      <c r="F88" s="201"/>
      <c r="G88" s="201"/>
      <c r="H88" s="201"/>
      <c r="I88" s="108"/>
    </row>
    <row r="89" spans="1:8" s="98" customFormat="1" ht="13.5" customHeight="1">
      <c r="A89" s="99"/>
      <c r="B89" s="99"/>
      <c r="C89" s="202" t="s">
        <v>11</v>
      </c>
      <c r="D89" s="202"/>
      <c r="E89" s="202"/>
      <c r="F89" s="202"/>
      <c r="G89" s="202"/>
      <c r="H89" s="202"/>
    </row>
    <row r="90" spans="1:8" s="98" customFormat="1" ht="13.5" customHeight="1">
      <c r="A90" s="99"/>
      <c r="B90" s="99"/>
      <c r="C90" s="203" t="s">
        <v>171</v>
      </c>
      <c r="D90" s="203"/>
      <c r="E90" s="203"/>
      <c r="F90" s="203"/>
      <c r="G90" s="203"/>
      <c r="H90" s="203"/>
    </row>
    <row r="91" spans="1:8" s="98" customFormat="1" ht="27.75" customHeight="1">
      <c r="A91" s="99"/>
      <c r="B91" s="99"/>
      <c r="C91" s="204" t="s">
        <v>172</v>
      </c>
      <c r="D91" s="204"/>
      <c r="E91" s="204"/>
      <c r="F91" s="204"/>
      <c r="G91" s="204"/>
      <c r="H91" s="204"/>
    </row>
    <row r="92" spans="1:8" s="98" customFormat="1" ht="13.5" customHeight="1">
      <c r="A92" s="99"/>
      <c r="B92" s="99"/>
      <c r="C92" s="203" t="s">
        <v>173</v>
      </c>
      <c r="D92" s="203"/>
      <c r="E92" s="203"/>
      <c r="F92" s="203"/>
      <c r="G92" s="203"/>
      <c r="H92" s="203"/>
    </row>
    <row r="93" spans="1:8" s="98" customFormat="1" ht="13.5" customHeight="1">
      <c r="A93" s="99"/>
      <c r="B93" s="99"/>
      <c r="C93" s="206" t="s">
        <v>174</v>
      </c>
      <c r="D93" s="206"/>
      <c r="E93" s="206"/>
      <c r="F93" s="206"/>
      <c r="G93" s="206"/>
      <c r="H93" s="206"/>
    </row>
    <row r="94" spans="1:8" s="98" customFormat="1" ht="13.5" customHeight="1">
      <c r="A94" s="99"/>
      <c r="B94" s="99"/>
      <c r="C94" s="160" t="s">
        <v>175</v>
      </c>
      <c r="D94" s="160"/>
      <c r="E94" s="160"/>
      <c r="F94" s="160"/>
      <c r="G94" s="160"/>
      <c r="H94" s="160"/>
    </row>
    <row r="95" spans="3:8" ht="24.75" customHeight="1">
      <c r="C95" s="204" t="s">
        <v>15</v>
      </c>
      <c r="D95" s="204"/>
      <c r="E95" s="204"/>
      <c r="F95" s="204"/>
      <c r="G95" s="204"/>
      <c r="H95" s="204"/>
    </row>
    <row r="96" spans="3:8" ht="27.75" customHeight="1">
      <c r="C96" s="204" t="s">
        <v>16</v>
      </c>
      <c r="D96" s="204"/>
      <c r="E96" s="204"/>
      <c r="F96" s="204"/>
      <c r="G96" s="204"/>
      <c r="H96" s="204"/>
    </row>
    <row r="97" spans="3:8" ht="15" customHeight="1">
      <c r="C97" s="204" t="s">
        <v>47</v>
      </c>
      <c r="D97" s="204"/>
      <c r="E97" s="204"/>
      <c r="F97" s="204"/>
      <c r="G97" s="204"/>
      <c r="H97" s="204"/>
    </row>
    <row r="99" spans="3:8" ht="12.75" customHeight="1">
      <c r="C99" s="199"/>
      <c r="D99" s="200"/>
      <c r="E99" s="200"/>
      <c r="F99" s="200"/>
      <c r="G99" s="200"/>
      <c r="H99" s="200"/>
    </row>
    <row r="100" spans="3:8" ht="12.75">
      <c r="C100" s="200"/>
      <c r="D100" s="200"/>
      <c r="E100" s="200"/>
      <c r="F100" s="200"/>
      <c r="G100" s="200"/>
      <c r="H100" s="200"/>
    </row>
  </sheetData>
  <sheetProtection password="C4F8" sheet="1"/>
  <mergeCells count="11">
    <mergeCell ref="B1:J1"/>
    <mergeCell ref="C92:H92"/>
    <mergeCell ref="C93:H93"/>
    <mergeCell ref="C95:H95"/>
    <mergeCell ref="C99:H100"/>
    <mergeCell ref="C88:H88"/>
    <mergeCell ref="C89:H89"/>
    <mergeCell ref="C90:H90"/>
    <mergeCell ref="C91:H91"/>
    <mergeCell ref="C96:H96"/>
    <mergeCell ref="C97:H97"/>
  </mergeCells>
  <conditionalFormatting sqref="C89">
    <cfRule type="expression" priority="1" dxfId="3" stopIfTrue="1">
      <formula>ISTEXT(C89)</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2019-01-25T15:42:17Z</cp:lastPrinted>
  <dcterms:created xsi:type="dcterms:W3CDTF">2015-06-09T11:12:40Z</dcterms:created>
  <dcterms:modified xsi:type="dcterms:W3CDTF">2020-03-19T08:13:52Z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